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Hoja1!$A$1:$AH$147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D56" i="1"/>
  <c r="J17" i="1" l="1"/>
  <c r="I17" i="1"/>
  <c r="J37" i="1"/>
  <c r="I37" i="1"/>
  <c r="J31" i="1" l="1"/>
  <c r="I31" i="1"/>
  <c r="J35" i="1" l="1"/>
  <c r="I35" i="1"/>
  <c r="J26" i="1"/>
  <c r="I26" i="1"/>
  <c r="J20" i="1"/>
  <c r="I20" i="1"/>
  <c r="J15" i="1"/>
  <c r="I15" i="1"/>
  <c r="J14" i="1"/>
  <c r="I14" i="1"/>
  <c r="J29" i="1"/>
  <c r="I29" i="1"/>
  <c r="J25" i="1"/>
  <c r="I25" i="1"/>
  <c r="J22" i="1"/>
  <c r="I22" i="1"/>
  <c r="J134" i="1"/>
  <c r="I134" i="1"/>
  <c r="J28" i="1"/>
  <c r="I28" i="1"/>
  <c r="J34" i="1"/>
  <c r="I34" i="1"/>
  <c r="J39" i="1"/>
  <c r="I39" i="1"/>
  <c r="J23" i="1"/>
  <c r="I23" i="1"/>
  <c r="J11" i="1"/>
  <c r="I11" i="1"/>
  <c r="J24" i="1"/>
  <c r="I24" i="1"/>
  <c r="I126" i="1"/>
  <c r="J141" i="1"/>
  <c r="I141" i="1"/>
  <c r="J139" i="1"/>
  <c r="I139" i="1"/>
  <c r="J38" i="1"/>
  <c r="I38" i="1"/>
  <c r="J18" i="1"/>
  <c r="I18" i="1"/>
  <c r="J30" i="1"/>
  <c r="I30" i="1"/>
  <c r="J16" i="1"/>
  <c r="I16" i="1"/>
  <c r="J21" i="1"/>
  <c r="I21" i="1"/>
  <c r="J140" i="1"/>
  <c r="I140" i="1"/>
  <c r="J45" i="1"/>
  <c r="I45" i="1"/>
  <c r="J147" i="1"/>
  <c r="I147" i="1"/>
  <c r="J36" i="1"/>
  <c r="I36" i="1"/>
  <c r="J33" i="1"/>
  <c r="I33" i="1"/>
  <c r="J32" i="1"/>
  <c r="I32" i="1"/>
  <c r="J144" i="1"/>
  <c r="I144" i="1"/>
  <c r="J27" i="1"/>
  <c r="I27" i="1"/>
  <c r="J40" i="1"/>
  <c r="I40" i="1"/>
  <c r="J146" i="1"/>
  <c r="I146" i="1"/>
  <c r="J43" i="1"/>
  <c r="I43" i="1"/>
  <c r="D43" i="1"/>
  <c r="J145" i="1"/>
  <c r="I145" i="1"/>
  <c r="J143" i="1"/>
  <c r="I143" i="1"/>
  <c r="D78" i="1"/>
  <c r="D79" i="1"/>
  <c r="D82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70" i="1"/>
  <c r="D73" i="1"/>
  <c r="D76" i="1"/>
  <c r="D77" i="1"/>
  <c r="J77" i="1"/>
  <c r="I77" i="1"/>
  <c r="J76" i="1"/>
  <c r="I76" i="1"/>
  <c r="J73" i="1"/>
  <c r="I73" i="1"/>
  <c r="J70" i="1"/>
  <c r="I70" i="1"/>
  <c r="J94" i="1"/>
  <c r="J92" i="1"/>
  <c r="J91" i="1"/>
  <c r="J90" i="1"/>
  <c r="J89" i="1"/>
  <c r="J88" i="1"/>
  <c r="J87" i="1"/>
  <c r="J86" i="1"/>
  <c r="J85" i="1"/>
  <c r="J84" i="1"/>
  <c r="J83" i="1"/>
  <c r="J81" i="1"/>
  <c r="J80" i="1"/>
  <c r="J82" i="1"/>
  <c r="J79" i="1"/>
  <c r="I79" i="1"/>
  <c r="I82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J78" i="1"/>
  <c r="J75" i="1"/>
  <c r="J74" i="1"/>
  <c r="J72" i="1"/>
  <c r="J71" i="1"/>
  <c r="J69" i="1"/>
  <c r="J68" i="1"/>
  <c r="J67" i="1"/>
  <c r="J66" i="1"/>
  <c r="J65" i="1"/>
  <c r="I66" i="1"/>
  <c r="I67" i="1"/>
  <c r="I68" i="1"/>
  <c r="I69" i="1"/>
  <c r="I71" i="1"/>
  <c r="I72" i="1"/>
  <c r="I74" i="1"/>
  <c r="I75" i="1"/>
  <c r="I78" i="1"/>
  <c r="I65" i="1"/>
  <c r="D64" i="1"/>
  <c r="D65" i="1"/>
  <c r="D66" i="1"/>
  <c r="D67" i="1"/>
  <c r="D68" i="1"/>
  <c r="D69" i="1"/>
  <c r="D71" i="1"/>
  <c r="D72" i="1"/>
  <c r="D74" i="1"/>
  <c r="D75" i="1"/>
  <c r="J64" i="1"/>
  <c r="I64" i="1"/>
  <c r="J121" i="1" l="1"/>
  <c r="I121" i="1"/>
  <c r="J60" i="1"/>
  <c r="I60" i="1"/>
  <c r="J113" i="1"/>
  <c r="I113" i="1"/>
  <c r="J138" i="1"/>
  <c r="I138" i="1"/>
  <c r="J115" i="1"/>
  <c r="I115" i="1"/>
  <c r="J135" i="1"/>
  <c r="I135" i="1"/>
  <c r="J137" i="1"/>
  <c r="I137" i="1"/>
  <c r="J99" i="1"/>
  <c r="I99" i="1"/>
  <c r="J133" i="1"/>
  <c r="I133" i="1"/>
  <c r="J130" i="1"/>
  <c r="I130" i="1"/>
  <c r="J136" i="1"/>
  <c r="I136" i="1"/>
  <c r="J96" i="1"/>
  <c r="I96" i="1"/>
  <c r="J42" i="1"/>
  <c r="I42" i="1"/>
  <c r="J100" i="1"/>
  <c r="I100" i="1"/>
  <c r="J2" i="1"/>
  <c r="I2" i="1"/>
  <c r="J44" i="1"/>
  <c r="I44" i="1"/>
  <c r="J106" i="1"/>
  <c r="I106" i="1"/>
  <c r="J105" i="1"/>
  <c r="I105" i="1"/>
  <c r="J102" i="1"/>
  <c r="I102" i="1"/>
  <c r="J110" i="1"/>
  <c r="I110" i="1"/>
  <c r="J54" i="1"/>
  <c r="I54" i="1"/>
  <c r="I53" i="1"/>
  <c r="J53" i="1"/>
  <c r="J13" i="1"/>
  <c r="I13" i="1"/>
  <c r="J101" i="1"/>
  <c r="I101" i="1"/>
  <c r="J111" i="1"/>
  <c r="I111" i="1"/>
  <c r="J41" i="1"/>
  <c r="I41" i="1"/>
  <c r="J98" i="1"/>
  <c r="I98" i="1"/>
  <c r="J116" i="1"/>
  <c r="I116" i="1"/>
  <c r="J132" i="1"/>
  <c r="I132" i="1"/>
  <c r="I128" i="1"/>
  <c r="J128" i="1"/>
  <c r="J109" i="1"/>
  <c r="I109" i="1"/>
  <c r="J124" i="1"/>
  <c r="I124" i="1"/>
  <c r="J129" i="1"/>
  <c r="I129" i="1"/>
  <c r="J59" i="1"/>
  <c r="I59" i="1"/>
  <c r="J120" i="1"/>
  <c r="I120" i="1"/>
  <c r="J58" i="1"/>
  <c r="I58" i="1"/>
  <c r="J104" i="1"/>
  <c r="I104" i="1"/>
  <c r="J107" i="1"/>
  <c r="I107" i="1"/>
  <c r="J103" i="1"/>
  <c r="I103" i="1"/>
  <c r="J12" i="1"/>
  <c r="I12" i="1"/>
  <c r="J123" i="1"/>
  <c r="I123" i="1"/>
  <c r="J61" i="1"/>
  <c r="I61" i="1"/>
  <c r="J131" i="1"/>
  <c r="I131" i="1"/>
  <c r="J3" i="1"/>
  <c r="I3" i="1"/>
  <c r="J97" i="1"/>
  <c r="I97" i="1"/>
  <c r="J57" i="1" l="1"/>
  <c r="I57" i="1"/>
  <c r="J119" i="1"/>
  <c r="I119" i="1"/>
  <c r="J50" i="1"/>
  <c r="I50" i="1"/>
  <c r="J62" i="1"/>
  <c r="I62" i="1"/>
  <c r="J55" i="1"/>
  <c r="I55" i="1"/>
  <c r="J52" i="1"/>
  <c r="I52" i="1"/>
  <c r="J51" i="1"/>
  <c r="I51" i="1"/>
  <c r="J63" i="1"/>
  <c r="I63" i="1"/>
  <c r="J7" i="1"/>
  <c r="I7" i="1"/>
  <c r="J117" i="1"/>
  <c r="I117" i="1"/>
  <c r="J46" i="1"/>
  <c r="I46" i="1"/>
  <c r="J6" i="1"/>
  <c r="I6" i="1"/>
  <c r="J126" i="1"/>
  <c r="J10" i="1"/>
  <c r="I10" i="1"/>
  <c r="J108" i="1"/>
  <c r="I108" i="1"/>
  <c r="I9" i="1"/>
  <c r="J9" i="1"/>
  <c r="J114" i="1"/>
  <c r="I114" i="1"/>
  <c r="J95" i="1"/>
  <c r="I95" i="1"/>
  <c r="J4" i="1"/>
  <c r="I4" i="1"/>
  <c r="J49" i="1"/>
  <c r="I49" i="1"/>
  <c r="J127" i="1"/>
  <c r="I127" i="1"/>
  <c r="J48" i="1"/>
  <c r="I48" i="1"/>
  <c r="J118" i="1"/>
  <c r="I118" i="1"/>
  <c r="J19" i="1"/>
  <c r="I19" i="1"/>
  <c r="J8" i="1"/>
  <c r="I8" i="1"/>
  <c r="J5" i="1"/>
  <c r="I5" i="1"/>
  <c r="J47" i="1"/>
  <c r="I47" i="1"/>
  <c r="J122" i="1"/>
  <c r="I122" i="1"/>
  <c r="J125" i="1"/>
  <c r="I125" i="1"/>
  <c r="D117" i="1"/>
  <c r="D7" i="1"/>
  <c r="D5" i="1"/>
  <c r="D8" i="1"/>
  <c r="D125" i="1"/>
  <c r="D46" i="1"/>
  <c r="D123" i="1"/>
  <c r="D27" i="1"/>
  <c r="D33" i="1"/>
  <c r="D130" i="1"/>
  <c r="D99" i="1"/>
  <c r="D136" i="1"/>
  <c r="D101" i="1"/>
  <c r="D31" i="1"/>
  <c r="D41" i="1"/>
  <c r="D30" i="1"/>
  <c r="D4" i="1"/>
  <c r="D38" i="1"/>
  <c r="D37" i="1"/>
  <c r="D14" i="1"/>
  <c r="D11" i="1"/>
  <c r="D39" i="1"/>
  <c r="D15" i="1"/>
  <c r="D34" i="1"/>
  <c r="D35" i="1"/>
  <c r="D119" i="1"/>
  <c r="D104" i="1"/>
  <c r="D129" i="1"/>
  <c r="D13" i="1"/>
  <c r="D47" i="1"/>
  <c r="D107" i="1"/>
  <c r="D98" i="1"/>
  <c r="D135" i="1"/>
  <c r="D140" i="1"/>
  <c r="D21" i="1"/>
  <c r="D24" i="1"/>
  <c r="D126" i="1"/>
  <c r="D51" i="1"/>
  <c r="D103" i="1"/>
  <c r="D131" i="1"/>
  <c r="D22" i="1"/>
  <c r="D23" i="1"/>
  <c r="D29" i="1"/>
  <c r="D48" i="1"/>
  <c r="D118" i="1"/>
  <c r="D142" i="1"/>
  <c r="D95" i="1"/>
  <c r="D144" i="1"/>
  <c r="D143" i="1"/>
  <c r="D145" i="1"/>
  <c r="D36" i="1"/>
  <c r="D18" i="1"/>
  <c r="D124" i="1"/>
  <c r="D61" i="1"/>
  <c r="D12" i="1"/>
  <c r="D128" i="1"/>
  <c r="D109" i="1"/>
  <c r="D50" i="1"/>
  <c r="D6" i="1"/>
  <c r="D49" i="1"/>
  <c r="D32" i="1"/>
  <c r="D122" i="1"/>
  <c r="D2" i="1"/>
  <c r="D137" i="1"/>
  <c r="D115" i="1"/>
  <c r="D138" i="1"/>
  <c r="D60" i="1"/>
  <c r="D121" i="1"/>
  <c r="D57" i="1"/>
  <c r="D25" i="1"/>
  <c r="D28" i="1"/>
  <c r="D134" i="1"/>
  <c r="D26" i="1"/>
  <c r="D147" i="1"/>
  <c r="D54" i="1"/>
  <c r="D58" i="1"/>
  <c r="D42" i="1"/>
  <c r="D59" i="1"/>
  <c r="D112" i="1"/>
  <c r="D45" i="1"/>
  <c r="D120" i="1"/>
  <c r="D132" i="1"/>
  <c r="D3" i="1"/>
  <c r="D127" i="1"/>
  <c r="D55" i="1"/>
  <c r="D62" i="1"/>
  <c r="D53" i="1"/>
  <c r="D97" i="1"/>
  <c r="D116" i="1"/>
  <c r="D139" i="1"/>
  <c r="D52" i="1"/>
  <c r="D141" i="1"/>
  <c r="D20" i="1"/>
  <c r="D102" i="1"/>
  <c r="D110" i="1"/>
  <c r="D111" i="1"/>
  <c r="D113" i="1"/>
  <c r="D44" i="1"/>
  <c r="D105" i="1"/>
  <c r="D106" i="1"/>
  <c r="D63" i="1"/>
  <c r="D133" i="1"/>
  <c r="D114" i="1"/>
  <c r="D108" i="1"/>
  <c r="D146" i="1"/>
  <c r="D16" i="1"/>
  <c r="D40" i="1"/>
  <c r="D10" i="1"/>
  <c r="D9" i="1"/>
  <c r="D96" i="1"/>
  <c r="D19" i="1"/>
  <c r="D17" i="1"/>
  <c r="D100" i="1"/>
</calcChain>
</file>

<file path=xl/sharedStrings.xml><?xml version="1.0" encoding="utf-8"?>
<sst xmlns="http://schemas.openxmlformats.org/spreadsheetml/2006/main" count="1143" uniqueCount="427">
  <si>
    <t>Tipo de trabajador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</si>
  <si>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</si>
  <si>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</si>
  <si>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</si>
  <si>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</si>
  <si>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Nombre(s)</t>
  </si>
  <si>
    <t>Primer apellido</t>
  </si>
  <si>
    <t>Segundo apellido</t>
  </si>
  <si>
    <t>Remuneración mensual bruta</t>
  </si>
  <si>
    <t>Remuneración mensual neta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</si>
  <si>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</si>
  <si>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</si>
  <si>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</si>
  <si>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</si>
  <si>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</si>
  <si>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</si>
  <si>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</si>
  <si>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</si>
  <si>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Bonos</t>
  </si>
  <si>
    <t>Estímulos</t>
  </si>
  <si>
    <t>Periodo de actualización de la información: (quincenal, mensual, bimestral, trimestral,  semestral, anual, bianual, etc.).</t>
  </si>
  <si>
    <t>Fecha de validación: día/mes/año.</t>
  </si>
  <si>
    <t>DIRECTOR DE AREA</t>
  </si>
  <si>
    <t>ANALISTA B</t>
  </si>
  <si>
    <t>DIRECCION DE PRODUCTIVIDAD Y VINCULACION LABORAL</t>
  </si>
  <si>
    <t>MARIELI</t>
  </si>
  <si>
    <t>GARCIA</t>
  </si>
  <si>
    <t>AZAR</t>
  </si>
  <si>
    <t>ALBELDA DEL CARMEN</t>
  </si>
  <si>
    <t>CASTILLO</t>
  </si>
  <si>
    <t>PAZ</t>
  </si>
  <si>
    <t>GUADALUPE EUGENIA</t>
  </si>
  <si>
    <t>CAZAN</t>
  </si>
  <si>
    <t>COSGAYA</t>
  </si>
  <si>
    <t>CONTRATO</t>
  </si>
  <si>
    <t>COORDINACION ADMINISTRATIVA</t>
  </si>
  <si>
    <t>COORDINADOR</t>
  </si>
  <si>
    <t>ANALISTA</t>
  </si>
  <si>
    <t>VERIFICADOR/NOTIFICADOR</t>
  </si>
  <si>
    <t>INTENDENTE</t>
  </si>
  <si>
    <t>OFICIAL ADMINISTRATIVO</t>
  </si>
  <si>
    <t>DIANA ELISA</t>
  </si>
  <si>
    <t>SANGUINO</t>
  </si>
  <si>
    <t>CERVERA</t>
  </si>
  <si>
    <t>CARLOS CANDELARIO</t>
  </si>
  <si>
    <t>R. DE LA GALA</t>
  </si>
  <si>
    <t>ORTEGON</t>
  </si>
  <si>
    <t>MARIA DEL CARMEN</t>
  </si>
  <si>
    <t>RODRIGUEZ</t>
  </si>
  <si>
    <t>NAH</t>
  </si>
  <si>
    <t>ROMANA FLORENCIA</t>
  </si>
  <si>
    <t>ZOZAYA</t>
  </si>
  <si>
    <t>MOO</t>
  </si>
  <si>
    <t>BRICEÑO</t>
  </si>
  <si>
    <t>CRUZ</t>
  </si>
  <si>
    <t>ERIK FABIAN</t>
  </si>
  <si>
    <t>PUMARES</t>
  </si>
  <si>
    <t>HUCHIN</t>
  </si>
  <si>
    <t>MARIA DEL JESUS</t>
  </si>
  <si>
    <t>ROBALDINO</t>
  </si>
  <si>
    <t>MARTINEZ</t>
  </si>
  <si>
    <t>ERICK ALEJANDRO</t>
  </si>
  <si>
    <t>NOVELO</t>
  </si>
  <si>
    <t>CHAN</t>
  </si>
  <si>
    <t>FRANCISCO MIGUEL</t>
  </si>
  <si>
    <t>PEREZ</t>
  </si>
  <si>
    <t>DURAN</t>
  </si>
  <si>
    <t>SUBDIRECTOR C</t>
  </si>
  <si>
    <t>COMUNICACIÓN SOCIAL</t>
  </si>
  <si>
    <t>GELIXKLI GUADALUPE</t>
  </si>
  <si>
    <t>COBOS</t>
  </si>
  <si>
    <t>VAZQUEZ</t>
  </si>
  <si>
    <t>DIRECCION DE INSPECCION DEL TRABAJO</t>
  </si>
  <si>
    <t>JEFE DE DEPARTAMENTO</t>
  </si>
  <si>
    <t>JEFE DE UNIDAD</t>
  </si>
  <si>
    <t>ANALISTA ESPECIALIZADO</t>
  </si>
  <si>
    <t>INSPECTOR A</t>
  </si>
  <si>
    <t>AUXILIAR TECNICO</t>
  </si>
  <si>
    <t>DIRECCION DE INSPECCION DEL TRABAJO (CD. CARMEN)</t>
  </si>
  <si>
    <t>ROSELY ALEJANDRA</t>
  </si>
  <si>
    <t>KEVIN DAVID</t>
  </si>
  <si>
    <t>MARISOL</t>
  </si>
  <si>
    <t>MARIA CONCEPCION</t>
  </si>
  <si>
    <t>MARCOS FRANCISCO</t>
  </si>
  <si>
    <t>VICTOR TRINIDAD</t>
  </si>
  <si>
    <t>SILVIA</t>
  </si>
  <si>
    <t>SUSAN LORIAN</t>
  </si>
  <si>
    <t>LOPEZ</t>
  </si>
  <si>
    <t>DIAZ</t>
  </si>
  <si>
    <t>COCOM</t>
  </si>
  <si>
    <t>COUOH</t>
  </si>
  <si>
    <t>ECHEVERRIA</t>
  </si>
  <si>
    <t>CARRERA</t>
  </si>
  <si>
    <t>UC</t>
  </si>
  <si>
    <t>POOL</t>
  </si>
  <si>
    <t>OROPEZA</t>
  </si>
  <si>
    <t>MONTENEGRO</t>
  </si>
  <si>
    <t>LANDEROS</t>
  </si>
  <si>
    <t>NICOLE</t>
  </si>
  <si>
    <t>DABAN</t>
  </si>
  <si>
    <t>AUXILIAR ADMINISTRATIVO</t>
  </si>
  <si>
    <t>ANTONIA CARMINA</t>
  </si>
  <si>
    <t>ANA ITZEL</t>
  </si>
  <si>
    <t>CANTO</t>
  </si>
  <si>
    <t>ARCOS</t>
  </si>
  <si>
    <t>MAGAÑA</t>
  </si>
  <si>
    <t>PACHECO</t>
  </si>
  <si>
    <t>PRESIDENTE DE LA JLCA</t>
  </si>
  <si>
    <t>AUXILIAR DE JUNTA</t>
  </si>
  <si>
    <t>AUXILIAR JURIDICO</t>
  </si>
  <si>
    <t>REPRESENTANTE PATRONAL</t>
  </si>
  <si>
    <t>SUBDIRECTOR</t>
  </si>
  <si>
    <t>ACTUARIO</t>
  </si>
  <si>
    <t>SECRETARIA E</t>
  </si>
  <si>
    <t>AUXILIAR DE OFICINA</t>
  </si>
  <si>
    <t>JUNTA LOCAL DE CONCILIACION Y ARBITRAJE</t>
  </si>
  <si>
    <t>MANUEL JESUS</t>
  </si>
  <si>
    <t>SOANCATL</t>
  </si>
  <si>
    <t>BENCOMO</t>
  </si>
  <si>
    <t>IRLANDA ELIZABETH</t>
  </si>
  <si>
    <t>SOLIS</t>
  </si>
  <si>
    <t>ALCOCER</t>
  </si>
  <si>
    <t>LUISA LEONIDA</t>
  </si>
  <si>
    <t>SIERRA</t>
  </si>
  <si>
    <t>LARA</t>
  </si>
  <si>
    <t>CLAUDIO ALEJANDRO</t>
  </si>
  <si>
    <t>ZETINA</t>
  </si>
  <si>
    <t>COLLI</t>
  </si>
  <si>
    <t>THANIA IVONNE</t>
  </si>
  <si>
    <t>CANTUN</t>
  </si>
  <si>
    <t>QUEB</t>
  </si>
  <si>
    <t>JAVIER IGNACIO</t>
  </si>
  <si>
    <t>CHERREZ</t>
  </si>
  <si>
    <t>JORGE ALBERTO</t>
  </si>
  <si>
    <t>JESUS</t>
  </si>
  <si>
    <t>GUTIERREZ</t>
  </si>
  <si>
    <t>JESSICA GUADALUPE</t>
  </si>
  <si>
    <t>ORDOÑEZ</t>
  </si>
  <si>
    <t>ALEJO</t>
  </si>
  <si>
    <t>ELODIA ONORINA</t>
  </si>
  <si>
    <t>CHUC</t>
  </si>
  <si>
    <t>MARIA CRISTINA ANTONIA</t>
  </si>
  <si>
    <t>CERON</t>
  </si>
  <si>
    <t>CAÑETAS</t>
  </si>
  <si>
    <t>MARTIN GERARDO</t>
  </si>
  <si>
    <t>PAVON</t>
  </si>
  <si>
    <t>CACERES</t>
  </si>
  <si>
    <t>ROSA ELENA</t>
  </si>
  <si>
    <t>SALAZAR</t>
  </si>
  <si>
    <t>AMIRA</t>
  </si>
  <si>
    <t>SANDOVAL</t>
  </si>
  <si>
    <t>ESCALANTE</t>
  </si>
  <si>
    <t>LUZ ALBA</t>
  </si>
  <si>
    <t>GONZALEZ</t>
  </si>
  <si>
    <t>SUSANA</t>
  </si>
  <si>
    <t>HAAS</t>
  </si>
  <si>
    <t>NAAL</t>
  </si>
  <si>
    <t>REPRESENTANTE DE OBRERO</t>
  </si>
  <si>
    <t>SECRETARIA D</t>
  </si>
  <si>
    <t>ANALISTA A</t>
  </si>
  <si>
    <t>SECRETARIO DE ACUERDOS</t>
  </si>
  <si>
    <t>CAPTURISTA B</t>
  </si>
  <si>
    <t>REPRESENTANTE SINDICAL</t>
  </si>
  <si>
    <t>SUBSECRETARIO</t>
  </si>
  <si>
    <t>PRESIDENTA DE LA JUNTA ESPECIAL</t>
  </si>
  <si>
    <t>SUBSECRETARIO DE ACUERDOS</t>
  </si>
  <si>
    <t>RAMONA</t>
  </si>
  <si>
    <t>JOSE LUIS</t>
  </si>
  <si>
    <t>MARGARITA</t>
  </si>
  <si>
    <t>BENJAMIN FRANCISCO</t>
  </si>
  <si>
    <t>MARTHA ARACELY</t>
  </si>
  <si>
    <t>JUAN MIGUEL</t>
  </si>
  <si>
    <t>DEYSI JUDITH</t>
  </si>
  <si>
    <t>JESUS ALEXANDER</t>
  </si>
  <si>
    <t>CONCEPCION</t>
  </si>
  <si>
    <t>ALEJANDRA</t>
  </si>
  <si>
    <t>ZOEMY DE LOS ANGELES</t>
  </si>
  <si>
    <t>ELFFIE SELENE</t>
  </si>
  <si>
    <t>FABIAN JESSEF</t>
  </si>
  <si>
    <t>BIVIANA GUADALUPE</t>
  </si>
  <si>
    <t>ROSA ELIA</t>
  </si>
  <si>
    <t>JORGE ADRIAN</t>
  </si>
  <si>
    <t>CARLOS ALBERTO</t>
  </si>
  <si>
    <t>LUIS FELIPE</t>
  </si>
  <si>
    <t>MANUEL RAMON</t>
  </si>
  <si>
    <t>JOSE ENRIQUE</t>
  </si>
  <si>
    <t>ENMA JULIA</t>
  </si>
  <si>
    <t>BEATRIZ DEL CARMEN</t>
  </si>
  <si>
    <t>ALEJANDRO</t>
  </si>
  <si>
    <t>JUAN JOSE</t>
  </si>
  <si>
    <t>ANA FLOR</t>
  </si>
  <si>
    <t>VICENTE</t>
  </si>
  <si>
    <t>KARLA LIZETH</t>
  </si>
  <si>
    <t>ARACELY</t>
  </si>
  <si>
    <t>DAELBELI</t>
  </si>
  <si>
    <t>JUNTA ESPECIAL DE CONCILIACION Y ARBITRAJE CD. DEL CARMEN</t>
  </si>
  <si>
    <t>MANZANILLA</t>
  </si>
  <si>
    <t>CORTES</t>
  </si>
  <si>
    <t>CU</t>
  </si>
  <si>
    <t>CHAVEZ</t>
  </si>
  <si>
    <t>DZIB</t>
  </si>
  <si>
    <t>CAUICH</t>
  </si>
  <si>
    <t>NOH</t>
  </si>
  <si>
    <t>UH</t>
  </si>
  <si>
    <t>PEDRAZA</t>
  </si>
  <si>
    <t>AKE</t>
  </si>
  <si>
    <t>SANCHEZ</t>
  </si>
  <si>
    <t>ACOSTA</t>
  </si>
  <si>
    <t>ESTRELLA</t>
  </si>
  <si>
    <t>ROMERO</t>
  </si>
  <si>
    <t>PRIETO</t>
  </si>
  <si>
    <t>MORALES</t>
  </si>
  <si>
    <t>CUEVAS</t>
  </si>
  <si>
    <t>RAMOS</t>
  </si>
  <si>
    <t>DEL TORO</t>
  </si>
  <si>
    <t>HERNANDEZ</t>
  </si>
  <si>
    <t>ZAVALA</t>
  </si>
  <si>
    <t>MALDONADO</t>
  </si>
  <si>
    <t>FLORES</t>
  </si>
  <si>
    <t>CARILLO</t>
  </si>
  <si>
    <t>DELGADO</t>
  </si>
  <si>
    <t>MAS</t>
  </si>
  <si>
    <t>PAAT</t>
  </si>
  <si>
    <t>ZAPATA</t>
  </si>
  <si>
    <t>LASTRA</t>
  </si>
  <si>
    <t>OJEDA</t>
  </si>
  <si>
    <t>LEYVA</t>
  </si>
  <si>
    <t>RAMIREZ</t>
  </si>
  <si>
    <t>HEREDIA</t>
  </si>
  <si>
    <t>LINARES</t>
  </si>
  <si>
    <t>VILLALPANDO</t>
  </si>
  <si>
    <t>SARAO</t>
  </si>
  <si>
    <t>Fecha de actualización: 07/FEB/2017.</t>
  </si>
  <si>
    <t>Área(s) o unidad(es) administrativa(s) responsable(s) de la información: COORDINACION ADMINISTRATIVA.</t>
  </si>
  <si>
    <t>SUBPROCURADOR</t>
  </si>
  <si>
    <t>DIRECCION DEL SERVICIO NACIONAL DE EMPLEO</t>
  </si>
  <si>
    <t>JOSE ALFREDO</t>
  </si>
  <si>
    <t>LORIA</t>
  </si>
  <si>
    <t>GALLEGOS</t>
  </si>
  <si>
    <t>PIÑA</t>
  </si>
  <si>
    <t>JAVIER ANTONIO</t>
  </si>
  <si>
    <t>VIANEY</t>
  </si>
  <si>
    <t>VERONICA</t>
  </si>
  <si>
    <t>CENTENO</t>
  </si>
  <si>
    <t>TREJO</t>
  </si>
  <si>
    <t>REJON</t>
  </si>
  <si>
    <t>JOSE RUBEN</t>
  </si>
  <si>
    <t>ARIAS</t>
  </si>
  <si>
    <t>JOHANY JACQUELINE</t>
  </si>
  <si>
    <t>QUE</t>
  </si>
  <si>
    <t>RUIZ</t>
  </si>
  <si>
    <t>ARACELY JAVIERA</t>
  </si>
  <si>
    <t>REYES</t>
  </si>
  <si>
    <t>AHUMADA</t>
  </si>
  <si>
    <t>LEON</t>
  </si>
  <si>
    <t>PILAR</t>
  </si>
  <si>
    <t>ROSA LILIA</t>
  </si>
  <si>
    <t>SANTOS</t>
  </si>
  <si>
    <t>FARFAN</t>
  </si>
  <si>
    <t>SILVIO</t>
  </si>
  <si>
    <t>CORREA</t>
  </si>
  <si>
    <t>DIRECCION JURIDICA</t>
  </si>
  <si>
    <t>PABLO GUADALUPE</t>
  </si>
  <si>
    <t>VELAZAQUEZ</t>
  </si>
  <si>
    <t>SOSA</t>
  </si>
  <si>
    <t>NANCY EUGENIA</t>
  </si>
  <si>
    <t>CANCHE</t>
  </si>
  <si>
    <t>TORRES</t>
  </si>
  <si>
    <t>CANUL</t>
  </si>
  <si>
    <t>CARLOS ALFREDO</t>
  </si>
  <si>
    <t>YESENIA DEL CARMEN</t>
  </si>
  <si>
    <t>CONCHA</t>
  </si>
  <si>
    <t>SILVA</t>
  </si>
  <si>
    <t>RICARDO DE LA CRUZ</t>
  </si>
  <si>
    <t>UICAB</t>
  </si>
  <si>
    <t>PROCURADURIA DE LA DEFENSA DEL TRABAJO</t>
  </si>
  <si>
    <t>LUIS CANDELARIO</t>
  </si>
  <si>
    <t>YERBES</t>
  </si>
  <si>
    <t>CANDELARIA GUADALUPE</t>
  </si>
  <si>
    <t>CHAB</t>
  </si>
  <si>
    <t>CHABLE</t>
  </si>
  <si>
    <t>VALERIA</t>
  </si>
  <si>
    <t>DE CORDOVA</t>
  </si>
  <si>
    <t>VEGA</t>
  </si>
  <si>
    <t>VERONICA ANALY</t>
  </si>
  <si>
    <t>ORTEGA</t>
  </si>
  <si>
    <t>MIJANGOS</t>
  </si>
  <si>
    <t>OCHOA</t>
  </si>
  <si>
    <t>PEDRO ALBERTO RICARDO</t>
  </si>
  <si>
    <t>GUERRERO</t>
  </si>
  <si>
    <t>OFICINA DEL TITULAR</t>
  </si>
  <si>
    <t>PROMOTOR A</t>
  </si>
  <si>
    <t>DIRECTOR C</t>
  </si>
  <si>
    <t>LEYDI SOFIA</t>
  </si>
  <si>
    <t>JOSE ANGEL</t>
  </si>
  <si>
    <t>BEATRIZ</t>
  </si>
  <si>
    <t>MAGDA TERESA</t>
  </si>
  <si>
    <t>GUADALUPE DEL CARMEN</t>
  </si>
  <si>
    <t>MARIA CANDELARIA</t>
  </si>
  <si>
    <t>MARGARITA DEL CARMEN</t>
  </si>
  <si>
    <t>MARIA</t>
  </si>
  <si>
    <t>FRANCISCO ALBERTO</t>
  </si>
  <si>
    <t>ROSAS</t>
  </si>
  <si>
    <t>MUT</t>
  </si>
  <si>
    <t>CABALLERO</t>
  </si>
  <si>
    <t>HERRERIAS</t>
  </si>
  <si>
    <t>ALMEYDA</t>
  </si>
  <si>
    <t>POLANCO</t>
  </si>
  <si>
    <t>BONORA</t>
  </si>
  <si>
    <t>HILDA EUGENIA</t>
  </si>
  <si>
    <t>VELAZQUEZ</t>
  </si>
  <si>
    <t>JORGE RODRIGO</t>
  </si>
  <si>
    <t>AGUILAR</t>
  </si>
  <si>
    <t>JAIME ERMILO</t>
  </si>
  <si>
    <t>OLIVERA</t>
  </si>
  <si>
    <t>GABRIELA PRIMAVERA</t>
  </si>
  <si>
    <t>GOMEZ</t>
  </si>
  <si>
    <t>STEPHANY GUADALUPE</t>
  </si>
  <si>
    <t>CAN</t>
  </si>
  <si>
    <t>GUADALUPE</t>
  </si>
  <si>
    <t>MONTALVO</t>
  </si>
  <si>
    <t>EFREN RICARDO</t>
  </si>
  <si>
    <t>ALCANTARA</t>
  </si>
  <si>
    <t>JOSSET DE LOS A.</t>
  </si>
  <si>
    <t>TOTOSAUS</t>
  </si>
  <si>
    <t>ALMACENISTA</t>
  </si>
  <si>
    <t>Anual</t>
  </si>
  <si>
    <t>MARCELINO ATOCHA</t>
  </si>
  <si>
    <t>CORDOVA</t>
  </si>
  <si>
    <t>MENDEZ</t>
  </si>
  <si>
    <t>GRISELDA</t>
  </si>
  <si>
    <t>LORENA PATRICIA</t>
  </si>
  <si>
    <t>ROMAN ALBERTO</t>
  </si>
  <si>
    <t>JORGE EFRAIN</t>
  </si>
  <si>
    <t>RINCON</t>
  </si>
  <si>
    <t>AYUDAS</t>
  </si>
  <si>
    <t>MARIA SOBEYDA</t>
  </si>
  <si>
    <t>CLAUDIA ZUREYMA</t>
  </si>
  <si>
    <t>ALVAREZ</t>
  </si>
  <si>
    <t>MERAZ</t>
  </si>
  <si>
    <t>AVILA</t>
  </si>
  <si>
    <t>WONG</t>
  </si>
  <si>
    <t>LUIS ANTONIO</t>
  </si>
  <si>
    <t>CHIN</t>
  </si>
  <si>
    <t>CORTEZ</t>
  </si>
  <si>
    <t>WILBERT MANUEL</t>
  </si>
  <si>
    <t>FUENTES</t>
  </si>
  <si>
    <t>LUVIA</t>
  </si>
  <si>
    <t>GAITAN</t>
  </si>
  <si>
    <t>CHOCOLATL</t>
  </si>
  <si>
    <t>ROSAURA MARIA</t>
  </si>
  <si>
    <t>MISS</t>
  </si>
  <si>
    <t>LUIS ENRIQUE</t>
  </si>
  <si>
    <t>HORACIO</t>
  </si>
  <si>
    <t>GUZMAN</t>
  </si>
  <si>
    <t>TOMAS</t>
  </si>
  <si>
    <t>MARIO FERNANDO</t>
  </si>
  <si>
    <t>LANDA</t>
  </si>
  <si>
    <t>MARTHA PATRICIA</t>
  </si>
  <si>
    <t>HECTOR</t>
  </si>
  <si>
    <t>MONDRAGON</t>
  </si>
  <si>
    <t>CELSA</t>
  </si>
  <si>
    <t>DEYSI</t>
  </si>
  <si>
    <t>MAY</t>
  </si>
  <si>
    <t>REBECA GABRIELA</t>
  </si>
  <si>
    <t>PECH</t>
  </si>
  <si>
    <t>SERVIN</t>
  </si>
  <si>
    <t>GASPAR</t>
  </si>
  <si>
    <t>QUIJANO</t>
  </si>
  <si>
    <t>EDGAR</t>
  </si>
  <si>
    <t>MARTHA ALEJANDRA</t>
  </si>
  <si>
    <t>CORAL</t>
  </si>
  <si>
    <t>BUDA KING</t>
  </si>
  <si>
    <t>YERANIA</t>
  </si>
  <si>
    <t>CORNELIO</t>
  </si>
  <si>
    <t>LUCIA GUADALUPE</t>
  </si>
  <si>
    <t>SANTINI</t>
  </si>
  <si>
    <t>CERVANTES</t>
  </si>
  <si>
    <t>ARCEO</t>
  </si>
  <si>
    <t>NAUM</t>
  </si>
  <si>
    <t>TUCUCH</t>
  </si>
  <si>
    <t>YAH</t>
  </si>
  <si>
    <t>RUBEN</t>
  </si>
  <si>
    <t>IRLANDA ALEJANDRA</t>
  </si>
  <si>
    <t>VALENZUELA</t>
  </si>
  <si>
    <t>JUANA</t>
  </si>
  <si>
    <t>DAMIAN</t>
  </si>
  <si>
    <t>MARTIN DE ATOCHA</t>
  </si>
  <si>
    <t>ZAIRA</t>
  </si>
  <si>
    <t>BORBOLLA</t>
  </si>
  <si>
    <t>EMILIA MARIA</t>
  </si>
  <si>
    <t>LORENA</t>
  </si>
  <si>
    <t>ISIDRO</t>
  </si>
  <si>
    <t>METELIN</t>
  </si>
  <si>
    <t>SERVICIO NACIONAL DE EMPLEO</t>
  </si>
  <si>
    <t>CINDY ZULEYMA</t>
  </si>
  <si>
    <t>LAURA DEL ROSARIO</t>
  </si>
  <si>
    <t>SUBDIRECTOR D</t>
  </si>
  <si>
    <t>MAYRAN YADIRA</t>
  </si>
  <si>
    <t>CONFIANZA</t>
  </si>
  <si>
    <t>SECRETARIO DE ESTADO</t>
  </si>
  <si>
    <t>SINDICALIZADO</t>
  </si>
  <si>
    <t>Mensual</t>
  </si>
  <si>
    <t>00394</t>
  </si>
  <si>
    <t>10128</t>
  </si>
  <si>
    <t>00391</t>
  </si>
  <si>
    <t>08375</t>
  </si>
  <si>
    <t>03383</t>
  </si>
  <si>
    <t>08260</t>
  </si>
  <si>
    <t>09118</t>
  </si>
  <si>
    <t>00980</t>
  </si>
  <si>
    <t>09003</t>
  </si>
  <si>
    <t>00836</t>
  </si>
  <si>
    <t>34588</t>
  </si>
  <si>
    <t>35008</t>
  </si>
  <si>
    <t>34590</t>
  </si>
  <si>
    <t>35104</t>
  </si>
  <si>
    <t>34563</t>
  </si>
  <si>
    <t>34198</t>
  </si>
  <si>
    <t>Subdirector</t>
  </si>
  <si>
    <t xml:space="preserve">Karina Hortensia </t>
  </si>
  <si>
    <t>González</t>
  </si>
  <si>
    <t>Acosta</t>
  </si>
  <si>
    <t>SUBSECRETARIA</t>
  </si>
  <si>
    <t>SUBSECRETARIA DE TRABAJO Y PREVISIÓN SOCIAL</t>
  </si>
  <si>
    <t>SUBSECRETARIA DE FOMENTO AL EMPLEO Y PRODUCTIVIDAD</t>
  </si>
  <si>
    <t>Unidad de Asuntos Jurídicos de la STPSCAM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</si>
</sst>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49" fontId="0" fillId="3" borderId="1" xfId="0" applyNumberFormat="1" applyFill="1" applyBorder="1" applyAlignment="1">
      <alignment horizontal="right"/>
    </xf>
    <xf numFmtId="43" fontId="0" fillId="3" borderId="1" xfId="1" applyFont="1" applyFill="1" applyBorder="1"/>
    <xf numFmtId="0" fontId="2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tabSelected="1" zoomScale="80" zoomScaleNormal="80" workbookViewId="0">
      <pane ySplit="1" topLeftCell="A29" activePane="bottomLeft" state="frozen"/>
      <selection pane="bottomLeft" sqref="A1:XFD1048576"/>
    </sheetView>
  </sheetViews>
  <sheetFormatPr baseColWidth="10" defaultRowHeight="15" x14ac:dyDescent="0.25"/>
  <cols>
    <col min="1" max="1" width="15.28515625" style="1" customWidth="1"/>
    <col min="2" max="2" width="11.42578125" style="8"/>
    <col min="3" max="4" width="27.85546875" style="1" bestFit="1" customWidth="1"/>
    <col min="5" max="5" width="55.28515625" style="1" bestFit="1" customWidth="1"/>
    <col min="6" max="6" width="26" style="1" bestFit="1" customWidth="1"/>
    <col min="7" max="7" width="18.85546875" style="1" bestFit="1" customWidth="1"/>
    <col min="8" max="8" width="14.5703125" style="1" bestFit="1" customWidth="1"/>
    <col min="9" max="16384" width="11.42578125" style="1"/>
  </cols>
  <sheetData>
    <row r="1" spans="1:35" ht="45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11</v>
      </c>
      <c r="P1" s="3" t="s">
        <v>12</v>
      </c>
      <c r="Q1" s="3" t="s">
        <v>14</v>
      </c>
      <c r="R1" s="3" t="s">
        <v>11</v>
      </c>
      <c r="S1" s="3" t="s">
        <v>12</v>
      </c>
      <c r="T1" s="3" t="s">
        <v>15</v>
      </c>
      <c r="U1" s="3" t="s">
        <v>11</v>
      </c>
      <c r="V1" s="3" t="s">
        <v>12</v>
      </c>
      <c r="W1" s="3" t="s">
        <v>16</v>
      </c>
      <c r="X1" s="3" t="s">
        <v>11</v>
      </c>
      <c r="Y1" s="3" t="s">
        <v>12</v>
      </c>
      <c r="Z1" s="3" t="s">
        <v>17</v>
      </c>
      <c r="AA1" s="3" t="s">
        <v>11</v>
      </c>
      <c r="AB1" s="3" t="s">
        <v>12</v>
      </c>
      <c r="AC1" s="3" t="s">
        <v>18</v>
      </c>
      <c r="AD1" s="3" t="s">
        <v>11</v>
      </c>
      <c r="AE1" s="3" t="s">
        <v>12</v>
      </c>
      <c r="AF1" s="3" t="s">
        <v>19</v>
      </c>
      <c r="AG1" s="3" t="s">
        <v>11</v>
      </c>
      <c r="AH1" s="3" t="s">
        <v>12</v>
      </c>
      <c r="AI1" s="2"/>
    </row>
    <row r="2" spans="1:35" x14ac:dyDescent="0.25">
      <c r="A2" s="5" t="s">
        <v>399</v>
      </c>
      <c r="B2" s="10">
        <v>20500</v>
      </c>
      <c r="C2" s="5" t="s">
        <v>112</v>
      </c>
      <c r="D2" s="5" t="str">
        <f t="shared" ref="D2:D33" si="0">+C2</f>
        <v>ACTUARIO</v>
      </c>
      <c r="E2" s="5" t="s">
        <v>115</v>
      </c>
      <c r="F2" s="5" t="s">
        <v>184</v>
      </c>
      <c r="G2" s="5" t="s">
        <v>70</v>
      </c>
      <c r="H2" s="5" t="s">
        <v>222</v>
      </c>
      <c r="I2" s="11">
        <f>(4224.67+41+200)*2</f>
        <v>8931.34</v>
      </c>
      <c r="J2" s="11">
        <f>3010.14*2</f>
        <v>6020.28</v>
      </c>
      <c r="K2" s="11">
        <v>250</v>
      </c>
      <c r="L2" s="5" t="s">
        <v>402</v>
      </c>
      <c r="M2" s="9">
        <v>42765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>
        <v>1150</v>
      </c>
      <c r="AD2" s="5" t="s">
        <v>326</v>
      </c>
      <c r="AE2" s="9">
        <v>42740</v>
      </c>
      <c r="AF2" s="5"/>
      <c r="AG2" s="5"/>
      <c r="AH2" s="5"/>
      <c r="AI2" s="2"/>
    </row>
    <row r="3" spans="1:35" x14ac:dyDescent="0.25">
      <c r="A3" s="5" t="s">
        <v>399</v>
      </c>
      <c r="B3" s="10">
        <v>33502</v>
      </c>
      <c r="C3" s="5" t="s">
        <v>112</v>
      </c>
      <c r="D3" s="5" t="str">
        <f t="shared" si="0"/>
        <v>ACTUARIO</v>
      </c>
      <c r="E3" s="5" t="s">
        <v>115</v>
      </c>
      <c r="F3" s="5" t="s">
        <v>147</v>
      </c>
      <c r="G3" s="5" t="s">
        <v>148</v>
      </c>
      <c r="H3" s="5" t="s">
        <v>54</v>
      </c>
      <c r="I3" s="11">
        <f>(4224.67+200)*2</f>
        <v>8849.34</v>
      </c>
      <c r="J3" s="11">
        <f>2911.52*2</f>
        <v>5823.04</v>
      </c>
      <c r="K3" s="11">
        <v>250</v>
      </c>
      <c r="L3" s="5" t="s">
        <v>402</v>
      </c>
      <c r="M3" s="9">
        <v>42765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>
        <v>1150</v>
      </c>
      <c r="AD3" s="5" t="s">
        <v>326</v>
      </c>
      <c r="AE3" s="9">
        <v>42740</v>
      </c>
      <c r="AF3" s="5"/>
      <c r="AG3" s="5"/>
      <c r="AH3" s="5"/>
      <c r="AI3" s="2"/>
    </row>
    <row r="4" spans="1:35" x14ac:dyDescent="0.25">
      <c r="A4" s="5" t="s">
        <v>401</v>
      </c>
      <c r="B4" s="10" t="s">
        <v>404</v>
      </c>
      <c r="C4" s="5" t="s">
        <v>325</v>
      </c>
      <c r="D4" s="5" t="str">
        <f t="shared" si="0"/>
        <v>ALMACENISTA</v>
      </c>
      <c r="E4" s="5" t="s">
        <v>290</v>
      </c>
      <c r="F4" s="5" t="s">
        <v>321</v>
      </c>
      <c r="G4" s="5" t="s">
        <v>196</v>
      </c>
      <c r="H4" s="5" t="s">
        <v>322</v>
      </c>
      <c r="I4" s="11">
        <f>(4224.67+68+200+211.23)*2</f>
        <v>9407.7999999999993</v>
      </c>
      <c r="J4" s="11">
        <f>1410.13*2</f>
        <v>2820.26</v>
      </c>
      <c r="K4" s="11">
        <v>250</v>
      </c>
      <c r="L4" s="5" t="s">
        <v>402</v>
      </c>
      <c r="M4" s="9">
        <v>42765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1150</v>
      </c>
      <c r="AD4" s="5" t="s">
        <v>326</v>
      </c>
      <c r="AE4" s="9">
        <v>42740</v>
      </c>
      <c r="AF4" s="5"/>
      <c r="AG4" s="5"/>
      <c r="AH4" s="5"/>
    </row>
    <row r="5" spans="1:35" x14ac:dyDescent="0.25">
      <c r="A5" s="5" t="s">
        <v>401</v>
      </c>
      <c r="B5" s="10" t="s">
        <v>408</v>
      </c>
      <c r="C5" s="5" t="s">
        <v>37</v>
      </c>
      <c r="D5" s="5" t="str">
        <f t="shared" si="0"/>
        <v>ANALISTA</v>
      </c>
      <c r="E5" s="5" t="s">
        <v>235</v>
      </c>
      <c r="F5" s="5" t="s">
        <v>295</v>
      </c>
      <c r="G5" s="5" t="s">
        <v>215</v>
      </c>
      <c r="H5" s="5" t="s">
        <v>305</v>
      </c>
      <c r="I5" s="11">
        <f>(5788.54+68+200)*2</f>
        <v>12113.08</v>
      </c>
      <c r="J5" s="11">
        <f>2067.11*2</f>
        <v>4134.22</v>
      </c>
      <c r="K5" s="11">
        <v>250</v>
      </c>
      <c r="L5" s="5" t="s">
        <v>402</v>
      </c>
      <c r="M5" s="9">
        <v>42765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v>1150</v>
      </c>
      <c r="AD5" s="5" t="s">
        <v>326</v>
      </c>
      <c r="AE5" s="9">
        <v>42740</v>
      </c>
      <c r="AF5" s="5"/>
      <c r="AG5" s="5"/>
      <c r="AH5" s="5"/>
    </row>
    <row r="6" spans="1:35" x14ac:dyDescent="0.25">
      <c r="A6" s="5" t="s">
        <v>401</v>
      </c>
      <c r="B6" s="10" t="s">
        <v>405</v>
      </c>
      <c r="C6" s="5" t="s">
        <v>37</v>
      </c>
      <c r="D6" s="5" t="str">
        <f t="shared" si="0"/>
        <v>ANALISTA</v>
      </c>
      <c r="E6" s="5" t="s">
        <v>115</v>
      </c>
      <c r="F6" s="5" t="s">
        <v>180</v>
      </c>
      <c r="G6" s="5" t="s">
        <v>87</v>
      </c>
      <c r="H6" s="5" t="s">
        <v>217</v>
      </c>
      <c r="I6" s="11">
        <f>(4224.67+68+200)*2</f>
        <v>8985.34</v>
      </c>
      <c r="J6" s="11">
        <f>1666.18*2</f>
        <v>3332.36</v>
      </c>
      <c r="K6" s="11">
        <v>250</v>
      </c>
      <c r="L6" s="5" t="s">
        <v>402</v>
      </c>
      <c r="M6" s="9">
        <v>42765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1150</v>
      </c>
      <c r="AD6" s="5" t="s">
        <v>326</v>
      </c>
      <c r="AE6" s="9">
        <v>42740</v>
      </c>
      <c r="AF6" s="5"/>
      <c r="AG6" s="5"/>
      <c r="AH6" s="5"/>
    </row>
    <row r="7" spans="1:35" x14ac:dyDescent="0.25">
      <c r="A7" s="5" t="s">
        <v>401</v>
      </c>
      <c r="B7" s="10" t="s">
        <v>407</v>
      </c>
      <c r="C7" s="5" t="s">
        <v>37</v>
      </c>
      <c r="D7" s="5" t="str">
        <f t="shared" si="0"/>
        <v>ANALISTA</v>
      </c>
      <c r="E7" s="5" t="s">
        <v>235</v>
      </c>
      <c r="F7" s="5" t="s">
        <v>294</v>
      </c>
      <c r="G7" s="5" t="s">
        <v>303</v>
      </c>
      <c r="H7" s="5" t="s">
        <v>304</v>
      </c>
      <c r="I7" s="11">
        <f>(4224.67+68+200)*2</f>
        <v>8985.34</v>
      </c>
      <c r="J7" s="11">
        <f>2041.16*2</f>
        <v>4082.32</v>
      </c>
      <c r="K7" s="11">
        <v>250</v>
      </c>
      <c r="L7" s="5" t="s">
        <v>402</v>
      </c>
      <c r="M7" s="9">
        <v>42765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1150</v>
      </c>
      <c r="AD7" s="5" t="s">
        <v>326</v>
      </c>
      <c r="AE7" s="9">
        <v>42740</v>
      </c>
      <c r="AF7" s="5"/>
      <c r="AG7" s="5"/>
      <c r="AH7" s="5"/>
    </row>
    <row r="8" spans="1:35" x14ac:dyDescent="0.25">
      <c r="A8" s="5" t="s">
        <v>401</v>
      </c>
      <c r="B8" s="10">
        <v>20490</v>
      </c>
      <c r="C8" s="5" t="s">
        <v>37</v>
      </c>
      <c r="D8" s="5" t="str">
        <f t="shared" si="0"/>
        <v>ANALISTA</v>
      </c>
      <c r="E8" s="5" t="s">
        <v>235</v>
      </c>
      <c r="F8" s="5" t="s">
        <v>296</v>
      </c>
      <c r="G8" s="5" t="s">
        <v>65</v>
      </c>
      <c r="H8" s="5" t="s">
        <v>48</v>
      </c>
      <c r="I8" s="11">
        <f>(5788.54+54.5+200)*2</f>
        <v>12086.08</v>
      </c>
      <c r="J8" s="11">
        <f>2179.88*2</f>
        <v>4359.76</v>
      </c>
      <c r="K8" s="11">
        <v>250</v>
      </c>
      <c r="L8" s="5" t="s">
        <v>402</v>
      </c>
      <c r="M8" s="9">
        <v>42765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1150</v>
      </c>
      <c r="AD8" s="5" t="s">
        <v>326</v>
      </c>
      <c r="AE8" s="9">
        <v>42740</v>
      </c>
      <c r="AF8" s="5"/>
      <c r="AG8" s="5"/>
      <c r="AH8" s="5"/>
    </row>
    <row r="9" spans="1:35" x14ac:dyDescent="0.25">
      <c r="A9" s="5" t="s">
        <v>401</v>
      </c>
      <c r="B9" s="10">
        <v>10613</v>
      </c>
      <c r="C9" s="5" t="s">
        <v>37</v>
      </c>
      <c r="D9" s="5" t="str">
        <f t="shared" si="0"/>
        <v>ANALISTA</v>
      </c>
      <c r="E9" s="5" t="s">
        <v>35</v>
      </c>
      <c r="F9" s="5" t="s">
        <v>44</v>
      </c>
      <c r="G9" s="5" t="s">
        <v>45</v>
      </c>
      <c r="H9" s="5" t="s">
        <v>46</v>
      </c>
      <c r="I9" s="11">
        <f>(4224.67+68+200+422.47)*2</f>
        <v>9830.2800000000007</v>
      </c>
      <c r="J9" s="11">
        <f>1563.7*2</f>
        <v>3127.4</v>
      </c>
      <c r="K9" s="11">
        <v>250</v>
      </c>
      <c r="L9" s="5" t="s">
        <v>402</v>
      </c>
      <c r="M9" s="9">
        <v>42765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1150</v>
      </c>
      <c r="AD9" s="5" t="s">
        <v>326</v>
      </c>
      <c r="AE9" s="9">
        <v>42740</v>
      </c>
      <c r="AF9" s="5"/>
      <c r="AG9" s="5"/>
      <c r="AH9" s="5"/>
    </row>
    <row r="10" spans="1:35" x14ac:dyDescent="0.25">
      <c r="A10" s="5" t="s">
        <v>401</v>
      </c>
      <c r="B10" s="10" t="s">
        <v>412</v>
      </c>
      <c r="C10" s="5" t="s">
        <v>37</v>
      </c>
      <c r="D10" s="5" t="str">
        <f t="shared" si="0"/>
        <v>ANALISTA</v>
      </c>
      <c r="E10" s="5" t="s">
        <v>35</v>
      </c>
      <c r="F10" s="5" t="s">
        <v>47</v>
      </c>
      <c r="G10" s="5" t="s">
        <v>48</v>
      </c>
      <c r="H10" s="5" t="s">
        <v>49</v>
      </c>
      <c r="I10" s="11">
        <f>(4224.67+68+200)*2</f>
        <v>8985.34</v>
      </c>
      <c r="J10" s="11">
        <f>1876*2</f>
        <v>3752</v>
      </c>
      <c r="K10" s="11">
        <v>250</v>
      </c>
      <c r="L10" s="5" t="s">
        <v>402</v>
      </c>
      <c r="M10" s="9">
        <v>42765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1150</v>
      </c>
      <c r="AD10" s="5" t="s">
        <v>326</v>
      </c>
      <c r="AE10" s="9">
        <v>42740</v>
      </c>
      <c r="AF10" s="5"/>
      <c r="AG10" s="5"/>
      <c r="AH10" s="5"/>
    </row>
    <row r="11" spans="1:35" x14ac:dyDescent="0.25">
      <c r="A11" s="5" t="s">
        <v>34</v>
      </c>
      <c r="B11" s="10">
        <v>34920</v>
      </c>
      <c r="C11" s="5" t="s">
        <v>159</v>
      </c>
      <c r="D11" s="5" t="str">
        <f t="shared" si="0"/>
        <v>ANALISTA A</v>
      </c>
      <c r="E11" s="5" t="s">
        <v>195</v>
      </c>
      <c r="F11" s="5" t="s">
        <v>242</v>
      </c>
      <c r="G11" s="5" t="s">
        <v>243</v>
      </c>
      <c r="H11" s="5" t="s">
        <v>48</v>
      </c>
      <c r="I11" s="11">
        <f>3116.04*2</f>
        <v>6232.08</v>
      </c>
      <c r="J11" s="11">
        <f>2750.12*2</f>
        <v>5500.24</v>
      </c>
      <c r="K11" s="11"/>
      <c r="L11" s="5" t="s">
        <v>402</v>
      </c>
      <c r="M11" s="9">
        <v>42765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1150</v>
      </c>
      <c r="AD11" s="5" t="s">
        <v>326</v>
      </c>
      <c r="AE11" s="9">
        <v>42740</v>
      </c>
      <c r="AF11" s="5"/>
      <c r="AG11" s="5"/>
      <c r="AH11" s="5"/>
    </row>
    <row r="12" spans="1:35" x14ac:dyDescent="0.25">
      <c r="A12" s="5" t="s">
        <v>399</v>
      </c>
      <c r="B12" s="10">
        <v>34029</v>
      </c>
      <c r="C12" s="5" t="s">
        <v>159</v>
      </c>
      <c r="D12" s="5" t="str">
        <f t="shared" si="0"/>
        <v>ANALISTA A</v>
      </c>
      <c r="E12" s="5" t="s">
        <v>115</v>
      </c>
      <c r="F12" s="5" t="s">
        <v>176</v>
      </c>
      <c r="G12" s="5" t="s">
        <v>213</v>
      </c>
      <c r="H12" s="5" t="s">
        <v>26</v>
      </c>
      <c r="I12" s="11">
        <f>(4224.67+200)*2</f>
        <v>8849.34</v>
      </c>
      <c r="J12" s="11">
        <f>3382.36*2</f>
        <v>6764.72</v>
      </c>
      <c r="K12" s="11">
        <v>250</v>
      </c>
      <c r="L12" s="5" t="s">
        <v>402</v>
      </c>
      <c r="M12" s="9">
        <v>42765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1150</v>
      </c>
      <c r="AD12" s="5" t="s">
        <v>326</v>
      </c>
      <c r="AE12" s="9">
        <v>42740</v>
      </c>
      <c r="AF12" s="5"/>
      <c r="AG12" s="5"/>
      <c r="AH12" s="5"/>
    </row>
    <row r="13" spans="1:35" x14ac:dyDescent="0.25">
      <c r="A13" s="5" t="s">
        <v>399</v>
      </c>
      <c r="B13" s="10">
        <v>33234</v>
      </c>
      <c r="C13" s="5" t="s">
        <v>159</v>
      </c>
      <c r="D13" s="5" t="str">
        <f t="shared" si="0"/>
        <v>ANALISTA A</v>
      </c>
      <c r="E13" s="5" t="s">
        <v>261</v>
      </c>
      <c r="F13" s="5" t="s">
        <v>269</v>
      </c>
      <c r="G13" s="5" t="s">
        <v>267</v>
      </c>
      <c r="H13" s="5" t="s">
        <v>268</v>
      </c>
      <c r="I13" s="11">
        <f>(4224.67+200)*2</f>
        <v>8849.34</v>
      </c>
      <c r="J13" s="11">
        <f>3379.82*2</f>
        <v>6759.64</v>
      </c>
      <c r="K13" s="11">
        <v>250</v>
      </c>
      <c r="L13" s="5" t="s">
        <v>402</v>
      </c>
      <c r="M13" s="9">
        <v>42765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v>1150</v>
      </c>
      <c r="AD13" s="5" t="s">
        <v>326</v>
      </c>
      <c r="AE13" s="9">
        <v>42740</v>
      </c>
      <c r="AF13" s="5"/>
      <c r="AG13" s="5"/>
      <c r="AH13" s="5"/>
    </row>
    <row r="14" spans="1:35" x14ac:dyDescent="0.25">
      <c r="A14" s="5" t="s">
        <v>34</v>
      </c>
      <c r="B14" s="10"/>
      <c r="C14" s="5" t="s">
        <v>23</v>
      </c>
      <c r="D14" s="5" t="str">
        <f t="shared" si="0"/>
        <v>ANALISTA B</v>
      </c>
      <c r="E14" s="5" t="s">
        <v>195</v>
      </c>
      <c r="F14" s="5" t="s">
        <v>255</v>
      </c>
      <c r="G14" s="5" t="s">
        <v>253</v>
      </c>
      <c r="H14" s="5" t="s">
        <v>254</v>
      </c>
      <c r="I14" s="11">
        <f>3116.04*2</f>
        <v>6232.08</v>
      </c>
      <c r="J14" s="11">
        <f>2756.45*2</f>
        <v>5512.9</v>
      </c>
      <c r="K14" s="11"/>
      <c r="L14" s="5" t="s">
        <v>402</v>
      </c>
      <c r="M14" s="9">
        <v>42765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5" x14ac:dyDescent="0.25">
      <c r="A15" s="5" t="s">
        <v>34</v>
      </c>
      <c r="B15" s="10">
        <v>9.1</v>
      </c>
      <c r="C15" s="5" t="s">
        <v>23</v>
      </c>
      <c r="D15" s="5" t="str">
        <f t="shared" si="0"/>
        <v>ANALISTA B</v>
      </c>
      <c r="E15" s="5" t="s">
        <v>195</v>
      </c>
      <c r="F15" s="5" t="s">
        <v>246</v>
      </c>
      <c r="G15" s="5" t="s">
        <v>247</v>
      </c>
      <c r="H15" s="5" t="s">
        <v>244</v>
      </c>
      <c r="I15" s="11">
        <f>3116.04*2</f>
        <v>6232.08</v>
      </c>
      <c r="J15" s="11">
        <f>2756.45*2</f>
        <v>5512.9</v>
      </c>
      <c r="K15" s="11"/>
      <c r="L15" s="5" t="s">
        <v>402</v>
      </c>
      <c r="M15" s="9">
        <v>42765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5" x14ac:dyDescent="0.25">
      <c r="A16" s="5" t="s">
        <v>34</v>
      </c>
      <c r="B16" s="10">
        <v>9.1</v>
      </c>
      <c r="C16" s="5" t="s">
        <v>23</v>
      </c>
      <c r="D16" s="5" t="str">
        <f t="shared" si="0"/>
        <v>ANALISTA B</v>
      </c>
      <c r="E16" s="5" t="s">
        <v>35</v>
      </c>
      <c r="F16" s="5" t="s">
        <v>396</v>
      </c>
      <c r="G16" s="5" t="s">
        <v>53</v>
      </c>
      <c r="H16" s="5" t="s">
        <v>54</v>
      </c>
      <c r="I16" s="11">
        <f>3116.04*2</f>
        <v>6232.08</v>
      </c>
      <c r="J16" s="11">
        <f>2756.45*2</f>
        <v>5512.9</v>
      </c>
      <c r="K16" s="11"/>
      <c r="L16" s="5" t="s">
        <v>402</v>
      </c>
      <c r="M16" s="9">
        <v>42765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5" t="s">
        <v>34</v>
      </c>
      <c r="B17" s="10">
        <v>34024</v>
      </c>
      <c r="C17" s="5" t="s">
        <v>23</v>
      </c>
      <c r="D17" s="5" t="str">
        <f t="shared" si="0"/>
        <v>ANALISTA B</v>
      </c>
      <c r="E17" s="5" t="s">
        <v>24</v>
      </c>
      <c r="F17" s="5" t="s">
        <v>28</v>
      </c>
      <c r="G17" s="5" t="s">
        <v>29</v>
      </c>
      <c r="H17" s="5" t="s">
        <v>30</v>
      </c>
      <c r="I17" s="11">
        <f>3116.04*2</f>
        <v>6232.08</v>
      </c>
      <c r="J17" s="11">
        <f>2750.12*2</f>
        <v>5500.24</v>
      </c>
      <c r="K17" s="11"/>
      <c r="L17" s="5" t="s">
        <v>402</v>
      </c>
      <c r="M17" s="9">
        <v>42765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5" t="s">
        <v>34</v>
      </c>
      <c r="B18" s="10">
        <v>35029</v>
      </c>
      <c r="C18" s="5" t="s">
        <v>23</v>
      </c>
      <c r="D18" s="5" t="str">
        <f t="shared" si="0"/>
        <v>ANALISTA B</v>
      </c>
      <c r="E18" s="5" t="s">
        <v>115</v>
      </c>
      <c r="F18" s="5" t="s">
        <v>173</v>
      </c>
      <c r="G18" s="5" t="s">
        <v>201</v>
      </c>
      <c r="H18" s="5" t="s">
        <v>208</v>
      </c>
      <c r="I18" s="11">
        <f>3116.04*2</f>
        <v>6232.08</v>
      </c>
      <c r="J18" s="11">
        <f>2750.12*2</f>
        <v>5500.24</v>
      </c>
      <c r="K18" s="11"/>
      <c r="L18" s="5" t="s">
        <v>402</v>
      </c>
      <c r="M18" s="9">
        <v>42765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1150</v>
      </c>
      <c r="AD18" s="5" t="s">
        <v>326</v>
      </c>
      <c r="AE18" s="9">
        <v>42740</v>
      </c>
      <c r="AF18" s="5"/>
      <c r="AG18" s="5"/>
      <c r="AH18" s="5"/>
    </row>
    <row r="19" spans="1:34" x14ac:dyDescent="0.25">
      <c r="A19" s="5" t="s">
        <v>401</v>
      </c>
      <c r="B19" s="10">
        <v>24205</v>
      </c>
      <c r="C19" s="5" t="s">
        <v>23</v>
      </c>
      <c r="D19" s="5" t="str">
        <f t="shared" si="0"/>
        <v>ANALISTA B</v>
      </c>
      <c r="E19" s="5" t="s">
        <v>24</v>
      </c>
      <c r="F19" s="5" t="s">
        <v>31</v>
      </c>
      <c r="G19" s="5" t="s">
        <v>32</v>
      </c>
      <c r="H19" s="5" t="s">
        <v>33</v>
      </c>
      <c r="I19" s="11">
        <f>(4224.67+41+200)*2</f>
        <v>8931.34</v>
      </c>
      <c r="J19" s="11">
        <f>2655.35*2</f>
        <v>5310.7</v>
      </c>
      <c r="K19" s="11">
        <v>250</v>
      </c>
      <c r="L19" s="5" t="s">
        <v>402</v>
      </c>
      <c r="M19" s="9">
        <v>42765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1150</v>
      </c>
      <c r="AD19" s="5" t="s">
        <v>326</v>
      </c>
      <c r="AE19" s="9">
        <v>42740</v>
      </c>
      <c r="AF19" s="5"/>
      <c r="AG19" s="5"/>
      <c r="AH19" s="5"/>
    </row>
    <row r="20" spans="1:34" x14ac:dyDescent="0.25">
      <c r="A20" s="5" t="s">
        <v>34</v>
      </c>
      <c r="B20" s="10" t="s">
        <v>416</v>
      </c>
      <c r="C20" s="5" t="s">
        <v>23</v>
      </c>
      <c r="D20" s="5" t="str">
        <f t="shared" si="0"/>
        <v>ANALISTA B</v>
      </c>
      <c r="E20" s="5" t="s">
        <v>68</v>
      </c>
      <c r="F20" s="5" t="s">
        <v>69</v>
      </c>
      <c r="G20" s="5" t="s">
        <v>70</v>
      </c>
      <c r="H20" s="5" t="s">
        <v>71</v>
      </c>
      <c r="I20" s="11">
        <f t="shared" ref="I20:I26" si="1">3116.04*2</f>
        <v>6232.08</v>
      </c>
      <c r="J20" s="11">
        <f>2756.45*2</f>
        <v>5512.9</v>
      </c>
      <c r="K20" s="11"/>
      <c r="L20" s="5" t="s">
        <v>402</v>
      </c>
      <c r="M20" s="9">
        <v>42765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5" t="s">
        <v>34</v>
      </c>
      <c r="B21" s="10">
        <v>34023</v>
      </c>
      <c r="C21" s="5" t="s">
        <v>23</v>
      </c>
      <c r="D21" s="5" t="str">
        <f t="shared" si="0"/>
        <v>ANALISTA B</v>
      </c>
      <c r="E21" s="5" t="s">
        <v>275</v>
      </c>
      <c r="F21" s="5" t="s">
        <v>281</v>
      </c>
      <c r="G21" s="5" t="s">
        <v>282</v>
      </c>
      <c r="H21" s="5" t="s">
        <v>283</v>
      </c>
      <c r="I21" s="11">
        <f t="shared" si="1"/>
        <v>6232.08</v>
      </c>
      <c r="J21" s="11">
        <f>2542.38*2</f>
        <v>5084.76</v>
      </c>
      <c r="K21" s="11"/>
      <c r="L21" s="5" t="s">
        <v>402</v>
      </c>
      <c r="M21" s="9">
        <v>42765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1150</v>
      </c>
      <c r="AD21" s="5" t="s">
        <v>326</v>
      </c>
      <c r="AE21" s="9">
        <v>42740</v>
      </c>
      <c r="AF21" s="5"/>
      <c r="AG21" s="5"/>
      <c r="AH21" s="5"/>
    </row>
    <row r="22" spans="1:34" x14ac:dyDescent="0.25">
      <c r="A22" s="5" t="s">
        <v>34</v>
      </c>
      <c r="B22" s="10">
        <v>34251</v>
      </c>
      <c r="C22" s="5" t="s">
        <v>23</v>
      </c>
      <c r="D22" s="5" t="str">
        <f t="shared" si="0"/>
        <v>ANALISTA B</v>
      </c>
      <c r="E22" s="5" t="s">
        <v>195</v>
      </c>
      <c r="F22" s="5" t="s">
        <v>398</v>
      </c>
      <c r="G22" s="5" t="s">
        <v>238</v>
      </c>
      <c r="H22" s="5" t="s">
        <v>239</v>
      </c>
      <c r="I22" s="11">
        <f t="shared" si="1"/>
        <v>6232.08</v>
      </c>
      <c r="J22" s="11">
        <f>2757.76*2</f>
        <v>5515.52</v>
      </c>
      <c r="K22" s="11"/>
      <c r="L22" s="5" t="s">
        <v>402</v>
      </c>
      <c r="M22" s="9">
        <v>42765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1150</v>
      </c>
      <c r="AD22" s="5" t="s">
        <v>326</v>
      </c>
      <c r="AE22" s="9">
        <v>42740</v>
      </c>
      <c r="AF22" s="5"/>
      <c r="AG22" s="5"/>
      <c r="AH22" s="5"/>
    </row>
    <row r="23" spans="1:34" x14ac:dyDescent="0.25">
      <c r="A23" s="5" t="s">
        <v>34</v>
      </c>
      <c r="B23" s="10">
        <v>9.1</v>
      </c>
      <c r="C23" s="5" t="s">
        <v>23</v>
      </c>
      <c r="D23" s="5" t="str">
        <f t="shared" si="0"/>
        <v>ANALISTA B</v>
      </c>
      <c r="E23" s="5" t="s">
        <v>195</v>
      </c>
      <c r="F23" s="5" t="s">
        <v>240</v>
      </c>
      <c r="G23" s="5" t="s">
        <v>215</v>
      </c>
      <c r="H23" s="5" t="s">
        <v>225</v>
      </c>
      <c r="I23" s="11">
        <f t="shared" si="1"/>
        <v>6232.08</v>
      </c>
      <c r="J23" s="11">
        <f>2742.52*2</f>
        <v>5485.04</v>
      </c>
      <c r="K23" s="11"/>
      <c r="L23" s="5" t="s">
        <v>402</v>
      </c>
      <c r="M23" s="9">
        <v>42765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1150</v>
      </c>
      <c r="AD23" s="5" t="s">
        <v>326</v>
      </c>
      <c r="AE23" s="9">
        <v>42740</v>
      </c>
      <c r="AF23" s="5"/>
      <c r="AG23" s="5"/>
      <c r="AH23" s="5"/>
    </row>
    <row r="24" spans="1:34" x14ac:dyDescent="0.25">
      <c r="A24" s="5" t="s">
        <v>34</v>
      </c>
      <c r="B24" s="10">
        <v>34152</v>
      </c>
      <c r="C24" s="5" t="s">
        <v>23</v>
      </c>
      <c r="D24" s="5" t="str">
        <f t="shared" si="0"/>
        <v>ANALISTA B</v>
      </c>
      <c r="E24" s="5" t="s">
        <v>275</v>
      </c>
      <c r="F24" s="5" t="s">
        <v>284</v>
      </c>
      <c r="G24" s="5" t="s">
        <v>134</v>
      </c>
      <c r="H24" s="5" t="s">
        <v>285</v>
      </c>
      <c r="I24" s="11">
        <f t="shared" si="1"/>
        <v>6232.08</v>
      </c>
      <c r="J24" s="11">
        <f>2750.12*2</f>
        <v>5500.24</v>
      </c>
      <c r="K24" s="11"/>
      <c r="L24" s="5" t="s">
        <v>402</v>
      </c>
      <c r="M24" s="9">
        <v>42765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1150</v>
      </c>
      <c r="AD24" s="5" t="s">
        <v>326</v>
      </c>
      <c r="AE24" s="9">
        <v>42740</v>
      </c>
      <c r="AF24" s="5"/>
      <c r="AG24" s="5"/>
      <c r="AH24" s="5"/>
    </row>
    <row r="25" spans="1:34" x14ac:dyDescent="0.25">
      <c r="A25" s="5" t="s">
        <v>34</v>
      </c>
      <c r="B25" s="10">
        <v>33766</v>
      </c>
      <c r="C25" s="5" t="s">
        <v>23</v>
      </c>
      <c r="D25" s="5" t="str">
        <f t="shared" si="0"/>
        <v>ANALISTA B</v>
      </c>
      <c r="E25" s="5" t="s">
        <v>195</v>
      </c>
      <c r="F25" s="5" t="s">
        <v>191</v>
      </c>
      <c r="G25" s="5" t="s">
        <v>229</v>
      </c>
      <c r="H25" s="5" t="s">
        <v>230</v>
      </c>
      <c r="I25" s="11">
        <f t="shared" si="1"/>
        <v>6232.08</v>
      </c>
      <c r="J25" s="11">
        <f>2334.65*2</f>
        <v>4669.3</v>
      </c>
      <c r="K25" s="11"/>
      <c r="L25" s="5" t="s">
        <v>402</v>
      </c>
      <c r="M25" s="9">
        <v>42765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v>1150</v>
      </c>
      <c r="AD25" s="5" t="s">
        <v>326</v>
      </c>
      <c r="AE25" s="9">
        <v>42740</v>
      </c>
      <c r="AF25" s="5"/>
      <c r="AG25" s="5"/>
      <c r="AH25" s="5"/>
    </row>
    <row r="26" spans="1:34" x14ac:dyDescent="0.25">
      <c r="A26" s="5" t="s">
        <v>34</v>
      </c>
      <c r="B26" s="10">
        <v>9.1</v>
      </c>
      <c r="C26" s="5" t="s">
        <v>23</v>
      </c>
      <c r="D26" s="5" t="str">
        <f t="shared" si="0"/>
        <v>ANALISTA B</v>
      </c>
      <c r="E26" s="5" t="s">
        <v>195</v>
      </c>
      <c r="F26" s="5" t="s">
        <v>194</v>
      </c>
      <c r="G26" s="5" t="s">
        <v>87</v>
      </c>
      <c r="H26" s="5" t="s">
        <v>211</v>
      </c>
      <c r="I26" s="11">
        <f t="shared" si="1"/>
        <v>6232.08</v>
      </c>
      <c r="J26" s="11">
        <f>2756.45*2</f>
        <v>5512.9</v>
      </c>
      <c r="K26" s="11"/>
      <c r="L26" s="5" t="s">
        <v>402</v>
      </c>
      <c r="M26" s="9">
        <v>42765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5" t="s">
        <v>34</v>
      </c>
      <c r="B27" s="10">
        <v>34019</v>
      </c>
      <c r="C27" s="5" t="s">
        <v>23</v>
      </c>
      <c r="D27" s="5" t="str">
        <f t="shared" si="0"/>
        <v>ANALISTA B</v>
      </c>
      <c r="E27" s="5" t="s">
        <v>235</v>
      </c>
      <c r="F27" s="5" t="s">
        <v>300</v>
      </c>
      <c r="G27" s="5" t="s">
        <v>87</v>
      </c>
      <c r="H27" s="5" t="s">
        <v>26</v>
      </c>
      <c r="I27" s="11">
        <f>(3116.04*2)</f>
        <v>6232.08</v>
      </c>
      <c r="J27" s="11">
        <f>2334.65*2</f>
        <v>4669.3</v>
      </c>
      <c r="K27" s="11"/>
      <c r="L27" s="5" t="s">
        <v>402</v>
      </c>
      <c r="M27" s="9">
        <v>42765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1150</v>
      </c>
      <c r="AD27" s="5" t="s">
        <v>326</v>
      </c>
      <c r="AE27" s="9">
        <v>42740</v>
      </c>
      <c r="AF27" s="5"/>
      <c r="AG27" s="5"/>
      <c r="AH27" s="5"/>
    </row>
    <row r="28" spans="1:34" x14ac:dyDescent="0.25">
      <c r="A28" s="5" t="s">
        <v>34</v>
      </c>
      <c r="B28" s="10">
        <v>34715</v>
      </c>
      <c r="C28" s="5" t="s">
        <v>23</v>
      </c>
      <c r="D28" s="5" t="str">
        <f t="shared" si="0"/>
        <v>ANALISTA B</v>
      </c>
      <c r="E28" s="5" t="s">
        <v>195</v>
      </c>
      <c r="F28" s="5" t="s">
        <v>192</v>
      </c>
      <c r="G28" s="5" t="s">
        <v>60</v>
      </c>
      <c r="H28" s="5" t="s">
        <v>54</v>
      </c>
      <c r="I28" s="11">
        <f>3116.04*2</f>
        <v>6232.08</v>
      </c>
      <c r="J28" s="11">
        <f>2750.12*2</f>
        <v>5500.24</v>
      </c>
      <c r="K28" s="11"/>
      <c r="L28" s="5" t="s">
        <v>402</v>
      </c>
      <c r="M28" s="9">
        <v>42765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v>1150</v>
      </c>
      <c r="AD28" s="5" t="s">
        <v>326</v>
      </c>
      <c r="AE28" s="9">
        <v>42740</v>
      </c>
      <c r="AF28" s="5"/>
      <c r="AG28" s="5"/>
      <c r="AH28" s="5"/>
    </row>
    <row r="29" spans="1:34" x14ac:dyDescent="0.25">
      <c r="A29" s="5" t="s">
        <v>34</v>
      </c>
      <c r="B29" s="10">
        <v>34592</v>
      </c>
      <c r="C29" s="5" t="s">
        <v>23</v>
      </c>
      <c r="D29" s="5" t="str">
        <f t="shared" si="0"/>
        <v>ANALISTA B</v>
      </c>
      <c r="E29" s="5" t="s">
        <v>195</v>
      </c>
      <c r="F29" s="5" t="s">
        <v>241</v>
      </c>
      <c r="G29" s="5" t="s">
        <v>329</v>
      </c>
      <c r="H29" s="5" t="s">
        <v>328</v>
      </c>
      <c r="I29" s="11">
        <f>3116.04*2</f>
        <v>6232.08</v>
      </c>
      <c r="J29" s="11">
        <f>2750.12*2</f>
        <v>5500.24</v>
      </c>
      <c r="K29" s="11"/>
      <c r="L29" s="5" t="s">
        <v>402</v>
      </c>
      <c r="M29" s="9">
        <v>42765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v>1150</v>
      </c>
      <c r="AD29" s="5" t="s">
        <v>326</v>
      </c>
      <c r="AE29" s="9">
        <v>42740</v>
      </c>
      <c r="AF29" s="5"/>
      <c r="AG29" s="5"/>
      <c r="AH29" s="5"/>
    </row>
    <row r="30" spans="1:34" x14ac:dyDescent="0.25">
      <c r="A30" s="5" t="s">
        <v>34</v>
      </c>
      <c r="B30" s="10" t="s">
        <v>413</v>
      </c>
      <c r="C30" s="5" t="s">
        <v>23</v>
      </c>
      <c r="D30" s="5" t="str">
        <f t="shared" si="0"/>
        <v>ANALISTA B</v>
      </c>
      <c r="E30" s="5" t="s">
        <v>290</v>
      </c>
      <c r="F30" s="5" t="s">
        <v>319</v>
      </c>
      <c r="G30" s="5" t="s">
        <v>320</v>
      </c>
      <c r="H30" s="5" t="s">
        <v>26</v>
      </c>
      <c r="I30" s="11">
        <f>3116.04*2</f>
        <v>6232.08</v>
      </c>
      <c r="J30" s="11">
        <f>2750.12*2</f>
        <v>5500.24</v>
      </c>
      <c r="K30" s="11"/>
      <c r="L30" s="5" t="s">
        <v>402</v>
      </c>
      <c r="M30" s="9">
        <v>42765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1150</v>
      </c>
      <c r="AD30" s="5" t="s">
        <v>326</v>
      </c>
      <c r="AE30" s="9">
        <v>42740</v>
      </c>
      <c r="AF30" s="5"/>
      <c r="AG30" s="5"/>
      <c r="AH30" s="5"/>
    </row>
    <row r="31" spans="1:34" x14ac:dyDescent="0.25">
      <c r="A31" s="5" t="s">
        <v>34</v>
      </c>
      <c r="B31" s="10">
        <v>34585</v>
      </c>
      <c r="C31" s="5" t="s">
        <v>23</v>
      </c>
      <c r="D31" s="5" t="str">
        <f t="shared" si="0"/>
        <v>ANALISTA B</v>
      </c>
      <c r="E31" s="5" t="s">
        <v>290</v>
      </c>
      <c r="F31" s="5" t="s">
        <v>116</v>
      </c>
      <c r="G31" s="5" t="s">
        <v>156</v>
      </c>
      <c r="H31" s="5" t="s">
        <v>63</v>
      </c>
      <c r="I31" s="11">
        <f>(3116.04*2)</f>
        <v>6232.08</v>
      </c>
      <c r="J31" s="11">
        <f>2750.12*2</f>
        <v>5500.24</v>
      </c>
      <c r="K31" s="11"/>
      <c r="L31" s="5" t="s">
        <v>402</v>
      </c>
      <c r="M31" s="9">
        <v>42765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1150</v>
      </c>
      <c r="AD31" s="5" t="s">
        <v>326</v>
      </c>
      <c r="AE31" s="9">
        <v>42740</v>
      </c>
      <c r="AF31" s="5"/>
      <c r="AG31" s="5"/>
      <c r="AH31" s="5"/>
    </row>
    <row r="32" spans="1:34" x14ac:dyDescent="0.25">
      <c r="A32" s="5" t="s">
        <v>34</v>
      </c>
      <c r="B32" s="10">
        <v>33953</v>
      </c>
      <c r="C32" s="5" t="s">
        <v>23</v>
      </c>
      <c r="D32" s="5" t="str">
        <f t="shared" si="0"/>
        <v>ANALISTA B</v>
      </c>
      <c r="E32" s="5" t="s">
        <v>115</v>
      </c>
      <c r="F32" s="5" t="s">
        <v>182</v>
      </c>
      <c r="G32" s="5" t="s">
        <v>65</v>
      </c>
      <c r="H32" s="5" t="s">
        <v>220</v>
      </c>
      <c r="I32" s="11">
        <f t="shared" ref="I32:I39" si="2">3116.04*2</f>
        <v>6232.08</v>
      </c>
      <c r="J32" s="11">
        <f>2408.16*2</f>
        <v>4816.32</v>
      </c>
      <c r="K32" s="11"/>
      <c r="L32" s="5" t="s">
        <v>402</v>
      </c>
      <c r="M32" s="9">
        <v>42765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1150</v>
      </c>
      <c r="AD32" s="5" t="s">
        <v>326</v>
      </c>
      <c r="AE32" s="9">
        <v>42740</v>
      </c>
      <c r="AF32" s="5"/>
      <c r="AG32" s="5"/>
      <c r="AH32" s="5"/>
    </row>
    <row r="33" spans="1:34" x14ac:dyDescent="0.25">
      <c r="A33" s="5" t="s">
        <v>34</v>
      </c>
      <c r="B33" s="10">
        <v>34030</v>
      </c>
      <c r="C33" s="5" t="s">
        <v>23</v>
      </c>
      <c r="D33" s="5" t="str">
        <f t="shared" si="0"/>
        <v>ANALISTA B</v>
      </c>
      <c r="E33" s="5" t="s">
        <v>235</v>
      </c>
      <c r="F33" s="5" t="s">
        <v>301</v>
      </c>
      <c r="G33" s="5" t="s">
        <v>307</v>
      </c>
      <c r="H33" s="5" t="s">
        <v>129</v>
      </c>
      <c r="I33" s="11">
        <f t="shared" si="2"/>
        <v>6232.08</v>
      </c>
      <c r="J33" s="11">
        <f>2750.12*2</f>
        <v>5500.24</v>
      </c>
      <c r="K33" s="11"/>
      <c r="L33" s="5" t="s">
        <v>402</v>
      </c>
      <c r="M33" s="9">
        <v>42765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1150</v>
      </c>
      <c r="AD33" s="5" t="s">
        <v>326</v>
      </c>
      <c r="AE33" s="9">
        <v>42740</v>
      </c>
      <c r="AF33" s="5"/>
      <c r="AG33" s="5"/>
      <c r="AH33" s="5"/>
    </row>
    <row r="34" spans="1:34" x14ac:dyDescent="0.25">
      <c r="A34" s="5" t="s">
        <v>34</v>
      </c>
      <c r="B34" s="10">
        <v>34252</v>
      </c>
      <c r="C34" s="5" t="s">
        <v>23</v>
      </c>
      <c r="D34" s="5" t="str">
        <f t="shared" ref="D34:D65" si="3">+C34</f>
        <v>ANALISTA B</v>
      </c>
      <c r="E34" s="5" t="s">
        <v>195</v>
      </c>
      <c r="F34" s="5" t="s">
        <v>248</v>
      </c>
      <c r="G34" s="5" t="s">
        <v>249</v>
      </c>
      <c r="H34" s="5" t="s">
        <v>250</v>
      </c>
      <c r="I34" s="11">
        <f t="shared" si="2"/>
        <v>6232.08</v>
      </c>
      <c r="J34" s="11">
        <f>2542.38*2</f>
        <v>5084.76</v>
      </c>
      <c r="K34" s="11"/>
      <c r="L34" s="5" t="s">
        <v>402</v>
      </c>
      <c r="M34" s="9">
        <v>42765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1150</v>
      </c>
      <c r="AD34" s="5" t="s">
        <v>326</v>
      </c>
      <c r="AE34" s="9">
        <v>42740</v>
      </c>
      <c r="AF34" s="5"/>
      <c r="AG34" s="5"/>
      <c r="AH34" s="5"/>
    </row>
    <row r="35" spans="1:34" x14ac:dyDescent="0.25">
      <c r="A35" s="5" t="s">
        <v>34</v>
      </c>
      <c r="B35" s="10">
        <v>9.1</v>
      </c>
      <c r="C35" s="5" t="s">
        <v>23</v>
      </c>
      <c r="D35" s="5" t="str">
        <f t="shared" si="3"/>
        <v>ANALISTA B</v>
      </c>
      <c r="E35" s="5" t="s">
        <v>195</v>
      </c>
      <c r="F35" s="5" t="s">
        <v>251</v>
      </c>
      <c r="G35" s="5" t="s">
        <v>252</v>
      </c>
      <c r="H35" s="5" t="s">
        <v>48</v>
      </c>
      <c r="I35" s="11">
        <f t="shared" si="2"/>
        <v>6232.08</v>
      </c>
      <c r="J35" s="11">
        <f>2756.45*2</f>
        <v>5512.9</v>
      </c>
      <c r="K35" s="11"/>
      <c r="L35" s="5" t="s">
        <v>402</v>
      </c>
      <c r="M35" s="9">
        <v>42765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5" t="s">
        <v>34</v>
      </c>
      <c r="B36" s="10" t="s">
        <v>415</v>
      </c>
      <c r="C36" s="5" t="s">
        <v>23</v>
      </c>
      <c r="D36" s="5" t="str">
        <f t="shared" si="3"/>
        <v>ANALISTA B</v>
      </c>
      <c r="E36" s="5" t="s">
        <v>115</v>
      </c>
      <c r="F36" s="5" t="s">
        <v>172</v>
      </c>
      <c r="G36" s="5" t="s">
        <v>206</v>
      </c>
      <c r="H36" s="5" t="s">
        <v>207</v>
      </c>
      <c r="I36" s="11">
        <f t="shared" si="2"/>
        <v>6232.08</v>
      </c>
      <c r="J36" s="11">
        <f>2750.12*2</f>
        <v>5500.24</v>
      </c>
      <c r="K36" s="11"/>
      <c r="L36" s="5" t="s">
        <v>402</v>
      </c>
      <c r="M36" s="9">
        <v>42765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1150</v>
      </c>
      <c r="AD36" s="5" t="s">
        <v>326</v>
      </c>
      <c r="AE36" s="9">
        <v>42740</v>
      </c>
      <c r="AF36" s="5"/>
      <c r="AG36" s="5"/>
      <c r="AH36" s="5"/>
    </row>
    <row r="37" spans="1:34" x14ac:dyDescent="0.25">
      <c r="A37" s="5" t="s">
        <v>34</v>
      </c>
      <c r="B37" s="10"/>
      <c r="C37" s="5" t="s">
        <v>23</v>
      </c>
      <c r="D37" s="5" t="str">
        <f t="shared" si="3"/>
        <v>ANALISTA B</v>
      </c>
      <c r="E37" s="5" t="s">
        <v>195</v>
      </c>
      <c r="F37" s="5" t="s">
        <v>256</v>
      </c>
      <c r="G37" s="5" t="s">
        <v>257</v>
      </c>
      <c r="H37" s="5" t="s">
        <v>258</v>
      </c>
      <c r="I37" s="11">
        <f t="shared" si="2"/>
        <v>6232.08</v>
      </c>
      <c r="J37" s="11">
        <f>2750.12*2</f>
        <v>5500.24</v>
      </c>
      <c r="K37" s="11"/>
      <c r="L37" s="5" t="s">
        <v>402</v>
      </c>
      <c r="M37" s="9">
        <v>42765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5" t="s">
        <v>34</v>
      </c>
      <c r="B38" s="10" t="s">
        <v>414</v>
      </c>
      <c r="C38" s="5" t="s">
        <v>23</v>
      </c>
      <c r="D38" s="5" t="str">
        <f t="shared" si="3"/>
        <v>ANALISTA B</v>
      </c>
      <c r="E38" s="5" t="s">
        <v>290</v>
      </c>
      <c r="F38" s="5" t="s">
        <v>323</v>
      </c>
      <c r="G38" s="5" t="s">
        <v>324</v>
      </c>
      <c r="H38" s="5" t="s">
        <v>206</v>
      </c>
      <c r="I38" s="11">
        <f t="shared" si="2"/>
        <v>6232.08</v>
      </c>
      <c r="J38" s="11">
        <f>2750.12*2</f>
        <v>5500.24</v>
      </c>
      <c r="K38" s="11"/>
      <c r="L38" s="5" t="s">
        <v>402</v>
      </c>
      <c r="M38" s="9">
        <v>42765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1150</v>
      </c>
      <c r="AD38" s="5" t="s">
        <v>326</v>
      </c>
      <c r="AE38" s="9">
        <v>42740</v>
      </c>
      <c r="AF38" s="5"/>
      <c r="AG38" s="5"/>
      <c r="AH38" s="5"/>
    </row>
    <row r="39" spans="1:34" x14ac:dyDescent="0.25">
      <c r="A39" s="5" t="s">
        <v>34</v>
      </c>
      <c r="B39" s="10">
        <v>9.1</v>
      </c>
      <c r="C39" s="5" t="s">
        <v>23</v>
      </c>
      <c r="D39" s="5" t="str">
        <f t="shared" si="3"/>
        <v>ANALISTA B</v>
      </c>
      <c r="E39" s="5" t="s">
        <v>195</v>
      </c>
      <c r="F39" s="5" t="s">
        <v>330</v>
      </c>
      <c r="G39" s="5" t="s">
        <v>244</v>
      </c>
      <c r="H39" s="5" t="s">
        <v>245</v>
      </c>
      <c r="I39" s="11">
        <f t="shared" si="2"/>
        <v>6232.08</v>
      </c>
      <c r="J39" s="11">
        <f>2742.52*2</f>
        <v>5485.04</v>
      </c>
      <c r="K39" s="11"/>
      <c r="L39" s="5" t="s">
        <v>402</v>
      </c>
      <c r="M39" s="9">
        <v>42765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1150</v>
      </c>
      <c r="AD39" s="5" t="s">
        <v>326</v>
      </c>
      <c r="AE39" s="9">
        <v>42740</v>
      </c>
      <c r="AF39" s="5"/>
      <c r="AG39" s="5"/>
      <c r="AH39" s="5"/>
    </row>
    <row r="40" spans="1:34" x14ac:dyDescent="0.25">
      <c r="A40" s="5" t="s">
        <v>34</v>
      </c>
      <c r="B40" s="10">
        <v>33688</v>
      </c>
      <c r="C40" s="5" t="s">
        <v>23</v>
      </c>
      <c r="D40" s="5" t="str">
        <f t="shared" si="3"/>
        <v>ANALISTA B</v>
      </c>
      <c r="E40" s="5" t="s">
        <v>35</v>
      </c>
      <c r="F40" s="5" t="s">
        <v>50</v>
      </c>
      <c r="G40" s="5" t="s">
        <v>51</v>
      </c>
      <c r="H40" s="5" t="s">
        <v>52</v>
      </c>
      <c r="I40" s="11">
        <f>(3116.04*2)</f>
        <v>6232.08</v>
      </c>
      <c r="J40" s="11">
        <f>2750.12*2</f>
        <v>5500.24</v>
      </c>
      <c r="K40" s="11"/>
      <c r="L40" s="5" t="s">
        <v>402</v>
      </c>
      <c r="M40" s="9">
        <v>42765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1150</v>
      </c>
      <c r="AD40" s="5" t="s">
        <v>326</v>
      </c>
      <c r="AE40" s="9">
        <v>42740</v>
      </c>
      <c r="AF40" s="5"/>
      <c r="AG40" s="5"/>
      <c r="AH40" s="5"/>
    </row>
    <row r="41" spans="1:34" x14ac:dyDescent="0.25">
      <c r="A41" s="5" t="s">
        <v>34</v>
      </c>
      <c r="B41" s="10">
        <v>34583</v>
      </c>
      <c r="C41" s="5" t="s">
        <v>75</v>
      </c>
      <c r="D41" s="5" t="str">
        <f t="shared" si="3"/>
        <v>ANALISTA ESPECIALIZADO</v>
      </c>
      <c r="E41" s="5" t="s">
        <v>290</v>
      </c>
      <c r="F41" s="5" t="s">
        <v>317</v>
      </c>
      <c r="G41" s="5" t="s">
        <v>318</v>
      </c>
      <c r="H41" s="5" t="s">
        <v>53</v>
      </c>
      <c r="I41" s="11">
        <f>(5282.51+950)*2</f>
        <v>12465.02</v>
      </c>
      <c r="J41" s="11">
        <f>4805.88*2</f>
        <v>9611.76</v>
      </c>
      <c r="K41" s="11"/>
      <c r="L41" s="5" t="s">
        <v>402</v>
      </c>
      <c r="M41" s="9">
        <v>42765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5" t="s">
        <v>399</v>
      </c>
      <c r="B42" s="10">
        <v>29861</v>
      </c>
      <c r="C42" s="5" t="s">
        <v>75</v>
      </c>
      <c r="D42" s="5" t="str">
        <f t="shared" si="3"/>
        <v>ANALISTA ESPECIALIZADO</v>
      </c>
      <c r="E42" s="5" t="s">
        <v>115</v>
      </c>
      <c r="F42" s="5" t="s">
        <v>131</v>
      </c>
      <c r="G42" s="5" t="s">
        <v>132</v>
      </c>
      <c r="H42" s="5" t="s">
        <v>123</v>
      </c>
      <c r="I42" s="11">
        <f>(5282.51+950)*2</f>
        <v>12465.02</v>
      </c>
      <c r="J42" s="11">
        <f>3870.27*2</f>
        <v>7740.54</v>
      </c>
      <c r="K42" s="11"/>
      <c r="L42" s="5" t="s">
        <v>402</v>
      </c>
      <c r="M42" s="9">
        <v>42765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5" t="s">
        <v>34</v>
      </c>
      <c r="B43" s="10">
        <v>35078</v>
      </c>
      <c r="C43" s="5" t="s">
        <v>75</v>
      </c>
      <c r="D43" s="5" t="str">
        <f t="shared" si="3"/>
        <v>ANALISTA ESPECIALIZADO</v>
      </c>
      <c r="E43" s="5"/>
      <c r="F43" s="5" t="s">
        <v>395</v>
      </c>
      <c r="G43" s="5" t="s">
        <v>65</v>
      </c>
      <c r="H43" s="5" t="s">
        <v>153</v>
      </c>
      <c r="I43" s="11">
        <f>(4457.46*2)</f>
        <v>8914.92</v>
      </c>
      <c r="J43" s="11">
        <f>3821.65*2</f>
        <v>7643.3</v>
      </c>
      <c r="K43" s="11"/>
      <c r="L43" s="5" t="s">
        <v>402</v>
      </c>
      <c r="M43" s="9">
        <v>42765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9"/>
      <c r="AF43" s="5"/>
      <c r="AG43" s="5"/>
      <c r="AH43" s="5"/>
    </row>
    <row r="44" spans="1:34" x14ac:dyDescent="0.25">
      <c r="A44" s="5" t="s">
        <v>399</v>
      </c>
      <c r="B44" s="10">
        <v>20571</v>
      </c>
      <c r="C44" s="5" t="s">
        <v>75</v>
      </c>
      <c r="D44" s="5" t="str">
        <f t="shared" si="3"/>
        <v>ANALISTA ESPECIALIZADO</v>
      </c>
      <c r="E44" s="5" t="s">
        <v>72</v>
      </c>
      <c r="F44" s="5" t="s">
        <v>82</v>
      </c>
      <c r="G44" s="5" t="s">
        <v>93</v>
      </c>
      <c r="H44" s="5" t="s">
        <v>94</v>
      </c>
      <c r="I44" s="11">
        <f>(5558.42+54.5+950)*2</f>
        <v>13125.84</v>
      </c>
      <c r="J44" s="11">
        <f>3799.69*2</f>
        <v>7599.38</v>
      </c>
      <c r="K44" s="11"/>
      <c r="L44" s="5" t="s">
        <v>402</v>
      </c>
      <c r="M44" s="9">
        <v>42765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5" t="s">
        <v>34</v>
      </c>
      <c r="B45" s="10">
        <v>33689</v>
      </c>
      <c r="C45" s="5" t="s">
        <v>75</v>
      </c>
      <c r="D45" s="5" t="str">
        <f t="shared" si="3"/>
        <v>ANALISTA ESPECIALIZADO</v>
      </c>
      <c r="E45" s="5" t="s">
        <v>115</v>
      </c>
      <c r="F45" s="5" t="s">
        <v>139</v>
      </c>
      <c r="G45" s="5" t="s">
        <v>71</v>
      </c>
      <c r="H45" s="5" t="s">
        <v>140</v>
      </c>
      <c r="I45" s="11">
        <f>5468.61*2</f>
        <v>10937.22</v>
      </c>
      <c r="J45" s="11">
        <f>4564.77*2</f>
        <v>9129.5400000000009</v>
      </c>
      <c r="K45" s="11"/>
      <c r="L45" s="5" t="s">
        <v>402</v>
      </c>
      <c r="M45" s="9">
        <v>42765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5" t="s">
        <v>401</v>
      </c>
      <c r="B46" s="10" t="s">
        <v>409</v>
      </c>
      <c r="C46" s="5" t="s">
        <v>100</v>
      </c>
      <c r="D46" s="5" t="str">
        <f t="shared" si="3"/>
        <v>AUXILIAR ADMINISTRATIVO</v>
      </c>
      <c r="E46" s="5" t="s">
        <v>235</v>
      </c>
      <c r="F46" s="5" t="s">
        <v>298</v>
      </c>
      <c r="G46" s="5" t="s">
        <v>308</v>
      </c>
      <c r="H46" s="5" t="s">
        <v>71</v>
      </c>
      <c r="I46" s="11">
        <f>(2989.67+68+200)*2</f>
        <v>6515.34</v>
      </c>
      <c r="J46" s="11">
        <f>2564.28*2</f>
        <v>5128.5600000000004</v>
      </c>
      <c r="K46" s="11">
        <v>250</v>
      </c>
      <c r="L46" s="5" t="s">
        <v>402</v>
      </c>
      <c r="M46" s="9">
        <v>42765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1150</v>
      </c>
      <c r="AD46" s="5" t="s">
        <v>326</v>
      </c>
      <c r="AE46" s="9">
        <v>42740</v>
      </c>
      <c r="AF46" s="5"/>
      <c r="AG46" s="5"/>
      <c r="AH46" s="5"/>
    </row>
    <row r="47" spans="1:34" x14ac:dyDescent="0.25">
      <c r="A47" s="5" t="s">
        <v>401</v>
      </c>
      <c r="B47" s="10" t="s">
        <v>406</v>
      </c>
      <c r="C47" s="5" t="s">
        <v>100</v>
      </c>
      <c r="D47" s="5" t="str">
        <f t="shared" si="3"/>
        <v>AUXILIAR ADMINISTRATIVO</v>
      </c>
      <c r="E47" s="5" t="s">
        <v>261</v>
      </c>
      <c r="F47" s="5" t="s">
        <v>270</v>
      </c>
      <c r="G47" s="5" t="s">
        <v>271</v>
      </c>
      <c r="H47" s="5" t="s">
        <v>93</v>
      </c>
      <c r="I47" s="11">
        <f>(2989.67+68+200)*2</f>
        <v>6515.34</v>
      </c>
      <c r="J47" s="11">
        <f>1965.67*2</f>
        <v>3931.34</v>
      </c>
      <c r="K47" s="11">
        <v>250</v>
      </c>
      <c r="L47" s="5" t="s">
        <v>402</v>
      </c>
      <c r="M47" s="9">
        <v>42765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1150</v>
      </c>
      <c r="AD47" s="5" t="s">
        <v>326</v>
      </c>
      <c r="AE47" s="9">
        <v>42740</v>
      </c>
      <c r="AF47" s="5"/>
      <c r="AG47" s="5"/>
      <c r="AH47" s="5"/>
    </row>
    <row r="48" spans="1:34" x14ac:dyDescent="0.25">
      <c r="A48" s="5" t="s">
        <v>401</v>
      </c>
      <c r="B48" s="10">
        <v>10052</v>
      </c>
      <c r="C48" s="5" t="s">
        <v>100</v>
      </c>
      <c r="D48" s="5" t="str">
        <f t="shared" si="3"/>
        <v>AUXILIAR ADMINISTRATIVO</v>
      </c>
      <c r="E48" s="5" t="s">
        <v>115</v>
      </c>
      <c r="F48" s="5" t="s">
        <v>166</v>
      </c>
      <c r="G48" s="5" t="s">
        <v>197</v>
      </c>
      <c r="H48" s="5" t="s">
        <v>198</v>
      </c>
      <c r="I48" s="11">
        <f>(2989.67+68+200)*2</f>
        <v>6515.34</v>
      </c>
      <c r="J48" s="11">
        <f>1781.31*2</f>
        <v>3562.62</v>
      </c>
      <c r="K48" s="11">
        <v>250</v>
      </c>
      <c r="L48" s="5" t="s">
        <v>402</v>
      </c>
      <c r="M48" s="9">
        <v>42765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v>1150</v>
      </c>
      <c r="AD48" s="5" t="s">
        <v>326</v>
      </c>
      <c r="AE48" s="9">
        <v>42740</v>
      </c>
      <c r="AF48" s="5"/>
      <c r="AG48" s="5"/>
      <c r="AH48" s="5"/>
    </row>
    <row r="49" spans="1:34" x14ac:dyDescent="0.25">
      <c r="A49" s="5" t="s">
        <v>401</v>
      </c>
      <c r="B49" s="10">
        <v>16278</v>
      </c>
      <c r="C49" s="5" t="s">
        <v>100</v>
      </c>
      <c r="D49" s="5" t="str">
        <f t="shared" si="3"/>
        <v>AUXILIAR ADMINISTRATIVO</v>
      </c>
      <c r="E49" s="5" t="s">
        <v>115</v>
      </c>
      <c r="F49" s="5" t="s">
        <v>181</v>
      </c>
      <c r="G49" s="5" t="s">
        <v>218</v>
      </c>
      <c r="H49" s="5" t="s">
        <v>219</v>
      </c>
      <c r="I49" s="11">
        <f>(2989.67+54.5+200)*2</f>
        <v>6488.34</v>
      </c>
      <c r="J49" s="11">
        <f>1597.3*2</f>
        <v>3194.6</v>
      </c>
      <c r="K49" s="11">
        <v>250</v>
      </c>
      <c r="L49" s="5" t="s">
        <v>402</v>
      </c>
      <c r="M49" s="9">
        <v>42765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v>1150</v>
      </c>
      <c r="AD49" s="5" t="s">
        <v>326</v>
      </c>
      <c r="AE49" s="9">
        <v>42740</v>
      </c>
      <c r="AF49" s="5"/>
      <c r="AG49" s="5"/>
      <c r="AH49" s="5"/>
    </row>
    <row r="50" spans="1:34" x14ac:dyDescent="0.25">
      <c r="A50" s="5" t="s">
        <v>401</v>
      </c>
      <c r="B50" s="10">
        <v>23518</v>
      </c>
      <c r="C50" s="5" t="s">
        <v>100</v>
      </c>
      <c r="D50" s="5" t="str">
        <f t="shared" si="3"/>
        <v>AUXILIAR ADMINISTRATIVO</v>
      </c>
      <c r="E50" s="5" t="s">
        <v>115</v>
      </c>
      <c r="F50" s="5" t="s">
        <v>179</v>
      </c>
      <c r="G50" s="5" t="s">
        <v>215</v>
      </c>
      <c r="H50" s="5" t="s">
        <v>216</v>
      </c>
      <c r="I50" s="11">
        <f>(2989.67+23+200)*2</f>
        <v>6425.34</v>
      </c>
      <c r="J50" s="11">
        <f>1496.4*2</f>
        <v>2992.8</v>
      </c>
      <c r="K50" s="11">
        <v>250</v>
      </c>
      <c r="L50" s="5" t="s">
        <v>402</v>
      </c>
      <c r="M50" s="9">
        <v>42765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1150</v>
      </c>
      <c r="AD50" s="5" t="s">
        <v>326</v>
      </c>
      <c r="AE50" s="9">
        <v>42740</v>
      </c>
      <c r="AF50" s="5"/>
      <c r="AG50" s="5"/>
      <c r="AH50" s="5"/>
    </row>
    <row r="51" spans="1:34" x14ac:dyDescent="0.25">
      <c r="A51" s="5" t="s">
        <v>401</v>
      </c>
      <c r="B51" s="10">
        <v>23693</v>
      </c>
      <c r="C51" s="5" t="s">
        <v>100</v>
      </c>
      <c r="D51" s="5" t="str">
        <f t="shared" si="3"/>
        <v>AUXILIAR ADMINISTRATIVO</v>
      </c>
      <c r="E51" s="5" t="s">
        <v>275</v>
      </c>
      <c r="F51" s="5" t="s">
        <v>242</v>
      </c>
      <c r="G51" s="5" t="s">
        <v>286</v>
      </c>
      <c r="H51" s="5" t="s">
        <v>287</v>
      </c>
      <c r="I51" s="11">
        <f>(2989.67+41+200)*2</f>
        <v>6461.34</v>
      </c>
      <c r="J51" s="11">
        <f>1638.68*2</f>
        <v>3277.36</v>
      </c>
      <c r="K51" s="11">
        <v>250</v>
      </c>
      <c r="L51" s="5" t="s">
        <v>402</v>
      </c>
      <c r="M51" s="9">
        <v>42765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1150</v>
      </c>
      <c r="AD51" s="5" t="s">
        <v>326</v>
      </c>
      <c r="AE51" s="9">
        <v>42740</v>
      </c>
      <c r="AF51" s="5"/>
      <c r="AG51" s="5"/>
      <c r="AH51" s="5"/>
    </row>
    <row r="52" spans="1:34" x14ac:dyDescent="0.25">
      <c r="A52" s="5" t="s">
        <v>401</v>
      </c>
      <c r="B52" s="10" t="s">
        <v>411</v>
      </c>
      <c r="C52" s="5" t="s">
        <v>100</v>
      </c>
      <c r="D52" s="5" t="str">
        <f t="shared" si="3"/>
        <v>AUXILIAR ADMINISTRATIVO</v>
      </c>
      <c r="E52" s="5" t="s">
        <v>72</v>
      </c>
      <c r="F52" s="5" t="s">
        <v>101</v>
      </c>
      <c r="G52" s="5" t="s">
        <v>106</v>
      </c>
      <c r="H52" s="5" t="s">
        <v>105</v>
      </c>
      <c r="I52" s="11">
        <f>(2989.67+68+200)*2</f>
        <v>6515.34</v>
      </c>
      <c r="J52" s="11">
        <f>1665.32*2</f>
        <v>3330.64</v>
      </c>
      <c r="K52" s="11">
        <v>250</v>
      </c>
      <c r="L52" s="5" t="s">
        <v>402</v>
      </c>
      <c r="M52" s="9">
        <v>42765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1150</v>
      </c>
      <c r="AD52" s="5" t="s">
        <v>326</v>
      </c>
      <c r="AE52" s="9">
        <v>42740</v>
      </c>
      <c r="AF52" s="5"/>
      <c r="AG52" s="5"/>
      <c r="AH52" s="5"/>
    </row>
    <row r="53" spans="1:34" x14ac:dyDescent="0.25">
      <c r="A53" s="5" t="s">
        <v>399</v>
      </c>
      <c r="B53" s="10">
        <v>21974</v>
      </c>
      <c r="C53" s="5" t="s">
        <v>108</v>
      </c>
      <c r="D53" s="5" t="str">
        <f t="shared" si="3"/>
        <v>AUXILIAR DE JUNTA</v>
      </c>
      <c r="E53" s="5" t="s">
        <v>115</v>
      </c>
      <c r="F53" s="5" t="s">
        <v>122</v>
      </c>
      <c r="G53" s="5" t="s">
        <v>123</v>
      </c>
      <c r="H53" s="5" t="s">
        <v>124</v>
      </c>
      <c r="I53" s="11">
        <f>(5839.44+54.5+950)*2</f>
        <v>13687.88</v>
      </c>
      <c r="J53" s="11">
        <f>3263.58*2</f>
        <v>6527.16</v>
      </c>
      <c r="K53" s="11"/>
      <c r="L53" s="5" t="s">
        <v>402</v>
      </c>
      <c r="M53" s="9">
        <v>42765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5" t="s">
        <v>399</v>
      </c>
      <c r="B54" s="10">
        <v>23566</v>
      </c>
      <c r="C54" s="5" t="s">
        <v>108</v>
      </c>
      <c r="D54" s="5" t="str">
        <f t="shared" si="3"/>
        <v>AUXILIAR DE JUNTA</v>
      </c>
      <c r="E54" s="5" t="s">
        <v>115</v>
      </c>
      <c r="F54" s="5" t="s">
        <v>125</v>
      </c>
      <c r="G54" s="5" t="s">
        <v>126</v>
      </c>
      <c r="H54" s="5" t="s">
        <v>127</v>
      </c>
      <c r="I54" s="11">
        <f>(5839.44+41+950)*2</f>
        <v>13660.88</v>
      </c>
      <c r="J54" s="11">
        <f>(2290.59*2)</f>
        <v>4581.18</v>
      </c>
      <c r="K54" s="11"/>
      <c r="L54" s="5" t="s">
        <v>402</v>
      </c>
      <c r="M54" s="9">
        <v>42765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5" t="s">
        <v>401</v>
      </c>
      <c r="B55" s="10">
        <v>28199</v>
      </c>
      <c r="C55" s="5" t="s">
        <v>114</v>
      </c>
      <c r="D55" s="5" t="str">
        <f t="shared" si="3"/>
        <v>AUXILIAR DE OFICINA</v>
      </c>
      <c r="E55" s="5" t="s">
        <v>115</v>
      </c>
      <c r="F55" s="5" t="s">
        <v>152</v>
      </c>
      <c r="G55" s="5" t="s">
        <v>153</v>
      </c>
      <c r="H55" s="5" t="s">
        <v>26</v>
      </c>
      <c r="I55" s="11">
        <f>(2348.42+27.5+200)*2</f>
        <v>5151.84</v>
      </c>
      <c r="J55" s="11">
        <f>1769.13*2</f>
        <v>3538.26</v>
      </c>
      <c r="K55" s="11">
        <v>250</v>
      </c>
      <c r="L55" s="5" t="s">
        <v>402</v>
      </c>
      <c r="M55" s="9">
        <v>42765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1150</v>
      </c>
      <c r="AD55" s="5" t="s">
        <v>326</v>
      </c>
      <c r="AE55" s="9">
        <v>42740</v>
      </c>
      <c r="AF55" s="5"/>
      <c r="AG55" s="5"/>
      <c r="AH55" s="5"/>
    </row>
    <row r="56" spans="1:34" x14ac:dyDescent="0.25">
      <c r="A56" s="5" t="s">
        <v>34</v>
      </c>
      <c r="B56" s="10"/>
      <c r="C56" s="5" t="s">
        <v>114</v>
      </c>
      <c r="D56" s="5" t="str">
        <f t="shared" si="3"/>
        <v>AUXILIAR DE OFICINA</v>
      </c>
      <c r="E56" s="5" t="s">
        <v>115</v>
      </c>
      <c r="F56" s="5" t="s">
        <v>420</v>
      </c>
      <c r="G56" s="5" t="s">
        <v>421</v>
      </c>
      <c r="H56" s="5" t="s">
        <v>422</v>
      </c>
      <c r="I56" s="11">
        <f>3116.04*2</f>
        <v>6232.08</v>
      </c>
      <c r="J56" s="11">
        <f>2750.12*2</f>
        <v>5500.24</v>
      </c>
      <c r="K56" s="11"/>
      <c r="L56" s="5" t="s">
        <v>402</v>
      </c>
      <c r="M56" s="9">
        <v>42765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1150</v>
      </c>
      <c r="AD56" s="5" t="s">
        <v>326</v>
      </c>
      <c r="AE56" s="9">
        <v>42740</v>
      </c>
      <c r="AF56" s="5"/>
      <c r="AG56" s="5"/>
      <c r="AH56" s="5"/>
    </row>
    <row r="57" spans="1:34" x14ac:dyDescent="0.25">
      <c r="A57" s="5" t="s">
        <v>401</v>
      </c>
      <c r="B57" s="10">
        <v>22711</v>
      </c>
      <c r="C57" s="5" t="s">
        <v>114</v>
      </c>
      <c r="D57" s="5" t="str">
        <f t="shared" si="3"/>
        <v>AUXILIAR DE OFICINA</v>
      </c>
      <c r="E57" s="5" t="s">
        <v>195</v>
      </c>
      <c r="F57" s="5" t="s">
        <v>190</v>
      </c>
      <c r="G57" s="5" t="s">
        <v>228</v>
      </c>
      <c r="H57" s="5" t="s">
        <v>151</v>
      </c>
      <c r="I57" s="11">
        <f>(2348.42+41+200)*2</f>
        <v>5178.84</v>
      </c>
      <c r="J57" s="11">
        <f>1990.13*2</f>
        <v>3980.26</v>
      </c>
      <c r="K57" s="11">
        <v>250</v>
      </c>
      <c r="L57" s="5" t="s">
        <v>402</v>
      </c>
      <c r="M57" s="9">
        <v>42765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1150</v>
      </c>
      <c r="AD57" s="5" t="s">
        <v>326</v>
      </c>
      <c r="AE57" s="9">
        <v>42740</v>
      </c>
      <c r="AF57" s="5"/>
      <c r="AG57" s="5"/>
      <c r="AH57" s="5"/>
    </row>
    <row r="58" spans="1:34" x14ac:dyDescent="0.25">
      <c r="A58" s="5" t="s">
        <v>399</v>
      </c>
      <c r="B58" s="10">
        <v>27806</v>
      </c>
      <c r="C58" s="5" t="s">
        <v>109</v>
      </c>
      <c r="D58" s="5" t="str">
        <f t="shared" si="3"/>
        <v>AUXILIAR JURIDICO</v>
      </c>
      <c r="E58" s="5" t="s">
        <v>115</v>
      </c>
      <c r="F58" s="5" t="s">
        <v>128</v>
      </c>
      <c r="G58" s="5" t="s">
        <v>129</v>
      </c>
      <c r="H58" s="5" t="s">
        <v>130</v>
      </c>
      <c r="I58" s="11">
        <f>(5282.51+27.5+950)*2</f>
        <v>12520.02</v>
      </c>
      <c r="J58" s="11">
        <f>4546.54*2</f>
        <v>9093.08</v>
      </c>
      <c r="K58" s="11"/>
      <c r="L58" s="5" t="s">
        <v>402</v>
      </c>
      <c r="M58" s="9">
        <v>42765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5" t="s">
        <v>399</v>
      </c>
      <c r="B59" s="10">
        <v>27234</v>
      </c>
      <c r="C59" s="5" t="s">
        <v>109</v>
      </c>
      <c r="D59" s="5" t="str">
        <f t="shared" si="3"/>
        <v>AUXILIAR JURIDICO</v>
      </c>
      <c r="E59" s="5" t="s">
        <v>115</v>
      </c>
      <c r="F59" s="5" t="s">
        <v>133</v>
      </c>
      <c r="G59" s="5" t="s">
        <v>134</v>
      </c>
      <c r="H59" s="5" t="s">
        <v>135</v>
      </c>
      <c r="I59" s="11">
        <f>(5282.51+27.5+950)*2</f>
        <v>12520.02</v>
      </c>
      <c r="J59" s="11">
        <f>4042.01*2</f>
        <v>8084.02</v>
      </c>
      <c r="K59" s="11"/>
      <c r="L59" s="5" t="s">
        <v>402</v>
      </c>
      <c r="M59" s="9">
        <v>42765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5" t="s">
        <v>34</v>
      </c>
      <c r="B60" s="10">
        <v>33765</v>
      </c>
      <c r="C60" s="5" t="s">
        <v>109</v>
      </c>
      <c r="D60" s="5" t="str">
        <f t="shared" si="3"/>
        <v>AUXILIAR JURIDICO</v>
      </c>
      <c r="E60" s="5" t="s">
        <v>195</v>
      </c>
      <c r="F60" s="5" t="s">
        <v>188</v>
      </c>
      <c r="G60" s="5" t="s">
        <v>87</v>
      </c>
      <c r="H60" s="5" t="s">
        <v>226</v>
      </c>
      <c r="I60" s="11">
        <f>(5282.51+950)*2</f>
        <v>12465.02</v>
      </c>
      <c r="J60" s="11">
        <f>4434.31*2</f>
        <v>8868.6200000000008</v>
      </c>
      <c r="K60" s="11"/>
      <c r="L60" s="5" t="s">
        <v>402</v>
      </c>
      <c r="M60" s="9">
        <v>42765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5" t="s">
        <v>399</v>
      </c>
      <c r="B61" s="10">
        <v>34026</v>
      </c>
      <c r="C61" s="5" t="s">
        <v>109</v>
      </c>
      <c r="D61" s="5" t="str">
        <f t="shared" si="3"/>
        <v>AUXILIAR JURIDICO</v>
      </c>
      <c r="E61" s="5" t="s">
        <v>115</v>
      </c>
      <c r="F61" s="5" t="s">
        <v>175</v>
      </c>
      <c r="G61" s="5" t="s">
        <v>211</v>
      </c>
      <c r="H61" s="5" t="s">
        <v>212</v>
      </c>
      <c r="I61" s="11">
        <f>(5282.51+950)*2</f>
        <v>12465.02</v>
      </c>
      <c r="J61" s="11">
        <f>4789.02*2</f>
        <v>9578.0400000000009</v>
      </c>
      <c r="K61" s="11"/>
      <c r="L61" s="5" t="s">
        <v>402</v>
      </c>
      <c r="M61" s="9">
        <v>42765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5" t="s">
        <v>401</v>
      </c>
      <c r="B62" s="10">
        <v>16262</v>
      </c>
      <c r="C62" s="5" t="s">
        <v>77</v>
      </c>
      <c r="D62" s="5" t="str">
        <f t="shared" si="3"/>
        <v>AUXILIAR TECNICO</v>
      </c>
      <c r="E62" s="5" t="s">
        <v>115</v>
      </c>
      <c r="F62" s="5" t="s">
        <v>154</v>
      </c>
      <c r="G62" s="5" t="s">
        <v>155</v>
      </c>
      <c r="H62" s="5" t="s">
        <v>156</v>
      </c>
      <c r="I62" s="11">
        <f>(2989.67+68+200)*2</f>
        <v>6515.34</v>
      </c>
      <c r="J62" s="11">
        <f>2053.32*2</f>
        <v>4106.6400000000003</v>
      </c>
      <c r="K62" s="11">
        <v>250</v>
      </c>
      <c r="L62" s="5" t="s">
        <v>402</v>
      </c>
      <c r="M62" s="9">
        <v>42765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1150</v>
      </c>
      <c r="AD62" s="5" t="s">
        <v>326</v>
      </c>
      <c r="AE62" s="9">
        <v>42740</v>
      </c>
      <c r="AF62" s="5"/>
      <c r="AG62" s="5"/>
      <c r="AH62" s="5"/>
    </row>
    <row r="63" spans="1:34" x14ac:dyDescent="0.25">
      <c r="A63" s="5" t="s">
        <v>401</v>
      </c>
      <c r="B63" s="10">
        <v>25169</v>
      </c>
      <c r="C63" s="5" t="s">
        <v>77</v>
      </c>
      <c r="D63" s="5" t="str">
        <f t="shared" si="3"/>
        <v>AUXILIAR TECNICO</v>
      </c>
      <c r="E63" s="5" t="s">
        <v>72</v>
      </c>
      <c r="F63" s="5" t="s">
        <v>85</v>
      </c>
      <c r="G63" s="5" t="s">
        <v>97</v>
      </c>
      <c r="H63" s="5" t="s">
        <v>65</v>
      </c>
      <c r="I63" s="11">
        <f>(2989.67+41+200)*2</f>
        <v>6461.34</v>
      </c>
      <c r="J63" s="11">
        <f>1426.86*2</f>
        <v>2853.72</v>
      </c>
      <c r="K63" s="11">
        <v>250</v>
      </c>
      <c r="L63" s="5" t="s">
        <v>402</v>
      </c>
      <c r="M63" s="9">
        <v>42765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1150</v>
      </c>
      <c r="AD63" s="5" t="s">
        <v>326</v>
      </c>
      <c r="AE63" s="9">
        <v>42740</v>
      </c>
      <c r="AF63" s="5"/>
      <c r="AG63" s="5"/>
      <c r="AH63" s="5"/>
    </row>
    <row r="64" spans="1:34" x14ac:dyDescent="0.25">
      <c r="A64" s="5" t="s">
        <v>34</v>
      </c>
      <c r="B64" s="10">
        <v>22125</v>
      </c>
      <c r="C64" s="5" t="s">
        <v>335</v>
      </c>
      <c r="D64" s="5" t="str">
        <f t="shared" si="3"/>
        <v>AYUDAS</v>
      </c>
      <c r="E64" s="5" t="s">
        <v>394</v>
      </c>
      <c r="F64" s="5" t="s">
        <v>333</v>
      </c>
      <c r="G64" s="5" t="s">
        <v>312</v>
      </c>
      <c r="H64" s="5" t="s">
        <v>334</v>
      </c>
      <c r="I64" s="11">
        <f>(1095.6*2)</f>
        <v>2191.1999999999998</v>
      </c>
      <c r="J64" s="11">
        <f>730.55*2</f>
        <v>1461.1</v>
      </c>
      <c r="K64" s="11"/>
      <c r="L64" s="5" t="s">
        <v>402</v>
      </c>
      <c r="M64" s="9">
        <v>42765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9"/>
      <c r="AF64" s="5"/>
      <c r="AG64" s="5"/>
      <c r="AH64" s="5"/>
    </row>
    <row r="65" spans="1:34" x14ac:dyDescent="0.25">
      <c r="A65" s="5" t="s">
        <v>34</v>
      </c>
      <c r="B65" s="10">
        <v>34516</v>
      </c>
      <c r="C65" s="5" t="s">
        <v>335</v>
      </c>
      <c r="D65" s="5" t="str">
        <f t="shared" si="3"/>
        <v>AYUDAS</v>
      </c>
      <c r="E65" s="5" t="s">
        <v>394</v>
      </c>
      <c r="F65" s="5" t="s">
        <v>336</v>
      </c>
      <c r="G65" s="5" t="s">
        <v>338</v>
      </c>
      <c r="H65" s="5" t="s">
        <v>339</v>
      </c>
      <c r="I65" s="11">
        <f>1095.6*2</f>
        <v>2191.1999999999998</v>
      </c>
      <c r="J65" s="11">
        <f>1095.6*2</f>
        <v>2191.1999999999998</v>
      </c>
      <c r="K65" s="11"/>
      <c r="L65" s="5" t="s">
        <v>402</v>
      </c>
      <c r="M65" s="9">
        <v>42765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9"/>
      <c r="AF65" s="5"/>
      <c r="AG65" s="5"/>
      <c r="AH65" s="5"/>
    </row>
    <row r="66" spans="1:34" x14ac:dyDescent="0.25">
      <c r="A66" s="5" t="s">
        <v>34</v>
      </c>
      <c r="B66" s="10">
        <v>34517</v>
      </c>
      <c r="C66" s="5" t="s">
        <v>335</v>
      </c>
      <c r="D66" s="5" t="str">
        <f t="shared" ref="D66:D97" si="4">+C66</f>
        <v>AYUDAS</v>
      </c>
      <c r="E66" s="5" t="s">
        <v>394</v>
      </c>
      <c r="F66" s="5" t="s">
        <v>337</v>
      </c>
      <c r="G66" s="5" t="s">
        <v>340</v>
      </c>
      <c r="H66" s="5" t="s">
        <v>341</v>
      </c>
      <c r="I66" s="11">
        <f>1095.6*2</f>
        <v>2191.1999999999998</v>
      </c>
      <c r="J66" s="11">
        <f>1095.6*2</f>
        <v>2191.1999999999998</v>
      </c>
      <c r="K66" s="11"/>
      <c r="L66" s="5" t="s">
        <v>402</v>
      </c>
      <c r="M66" s="9">
        <v>42765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9"/>
      <c r="AF66" s="5"/>
      <c r="AG66" s="5"/>
      <c r="AH66" s="5"/>
    </row>
    <row r="67" spans="1:34" x14ac:dyDescent="0.25">
      <c r="A67" s="5" t="s">
        <v>34</v>
      </c>
      <c r="B67" s="10">
        <v>22123</v>
      </c>
      <c r="C67" s="5" t="s">
        <v>335</v>
      </c>
      <c r="D67" s="5" t="str">
        <f t="shared" si="4"/>
        <v>AYUDAS</v>
      </c>
      <c r="E67" s="5" t="s">
        <v>394</v>
      </c>
      <c r="F67" s="5" t="s">
        <v>342</v>
      </c>
      <c r="G67" s="5" t="s">
        <v>343</v>
      </c>
      <c r="H67" s="5" t="s">
        <v>135</v>
      </c>
      <c r="I67" s="11">
        <f t="shared" ref="I67:I94" si="5">1095.6*2</f>
        <v>2191.1999999999998</v>
      </c>
      <c r="J67" s="11">
        <f>722.07*2</f>
        <v>1444.14</v>
      </c>
      <c r="K67" s="11"/>
      <c r="L67" s="5" t="s">
        <v>402</v>
      </c>
      <c r="M67" s="9">
        <v>42765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9"/>
      <c r="AF67" s="5"/>
      <c r="AG67" s="5"/>
      <c r="AH67" s="5"/>
    </row>
    <row r="68" spans="1:34" x14ac:dyDescent="0.25">
      <c r="A68" s="5" t="s">
        <v>34</v>
      </c>
      <c r="B68" s="10">
        <v>29815</v>
      </c>
      <c r="C68" s="5" t="s">
        <v>335</v>
      </c>
      <c r="D68" s="5" t="str">
        <f t="shared" si="4"/>
        <v>AYUDAS</v>
      </c>
      <c r="E68" s="5" t="s">
        <v>394</v>
      </c>
      <c r="F68" s="5" t="s">
        <v>345</v>
      </c>
      <c r="G68" s="5" t="s">
        <v>344</v>
      </c>
      <c r="H68" s="5" t="s">
        <v>54</v>
      </c>
      <c r="I68" s="11">
        <f t="shared" si="5"/>
        <v>2191.1999999999998</v>
      </c>
      <c r="J68" s="11">
        <f>1095.6*2</f>
        <v>2191.1999999999998</v>
      </c>
      <c r="K68" s="11"/>
      <c r="L68" s="5" t="s">
        <v>402</v>
      </c>
      <c r="M68" s="9">
        <v>42765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9"/>
      <c r="AF68" s="5"/>
      <c r="AG68" s="5"/>
      <c r="AH68" s="5"/>
    </row>
    <row r="69" spans="1:34" x14ac:dyDescent="0.25">
      <c r="A69" s="5" t="s">
        <v>34</v>
      </c>
      <c r="B69" s="10">
        <v>22121</v>
      </c>
      <c r="C69" s="5" t="s">
        <v>335</v>
      </c>
      <c r="D69" s="5" t="str">
        <f t="shared" si="4"/>
        <v>AYUDAS</v>
      </c>
      <c r="E69" s="5" t="s">
        <v>394</v>
      </c>
      <c r="F69" s="5" t="s">
        <v>116</v>
      </c>
      <c r="G69" s="5" t="s">
        <v>208</v>
      </c>
      <c r="H69" s="5" t="s">
        <v>346</v>
      </c>
      <c r="I69" s="11">
        <f t="shared" si="5"/>
        <v>2191.1999999999998</v>
      </c>
      <c r="J69" s="11">
        <f>1095.6*2</f>
        <v>2191.1999999999998</v>
      </c>
      <c r="K69" s="11"/>
      <c r="L69" s="5" t="s">
        <v>402</v>
      </c>
      <c r="M69" s="9">
        <v>42765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9"/>
      <c r="AF69" s="5"/>
      <c r="AG69" s="5"/>
      <c r="AH69" s="5"/>
    </row>
    <row r="70" spans="1:34" x14ac:dyDescent="0.25">
      <c r="A70" s="5" t="s">
        <v>34</v>
      </c>
      <c r="B70" s="10">
        <v>22115</v>
      </c>
      <c r="C70" s="5" t="s">
        <v>335</v>
      </c>
      <c r="D70" s="5" t="str">
        <f t="shared" si="4"/>
        <v>AYUDAS</v>
      </c>
      <c r="E70" s="5" t="s">
        <v>394</v>
      </c>
      <c r="F70" s="5" t="s">
        <v>387</v>
      </c>
      <c r="G70" s="5" t="s">
        <v>208</v>
      </c>
      <c r="H70" s="5" t="s">
        <v>129</v>
      </c>
      <c r="I70" s="11">
        <f t="shared" si="5"/>
        <v>2191.1999999999998</v>
      </c>
      <c r="J70" s="11">
        <f>1095.6*2</f>
        <v>2191.1999999999998</v>
      </c>
      <c r="K70" s="11"/>
      <c r="L70" s="5" t="s">
        <v>402</v>
      </c>
      <c r="M70" s="9">
        <v>42765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9"/>
      <c r="AF70" s="5"/>
      <c r="AG70" s="5"/>
      <c r="AH70" s="5"/>
    </row>
    <row r="71" spans="1:34" x14ac:dyDescent="0.25">
      <c r="A71" s="5" t="s">
        <v>34</v>
      </c>
      <c r="B71" s="10">
        <v>30057</v>
      </c>
      <c r="C71" s="5" t="s">
        <v>335</v>
      </c>
      <c r="D71" s="5" t="str">
        <f t="shared" si="4"/>
        <v>AYUDAS</v>
      </c>
      <c r="E71" s="5" t="s">
        <v>394</v>
      </c>
      <c r="F71" s="5" t="s">
        <v>347</v>
      </c>
      <c r="G71" s="5" t="s">
        <v>348</v>
      </c>
      <c r="H71" s="5" t="s">
        <v>349</v>
      </c>
      <c r="I71" s="11">
        <f t="shared" si="5"/>
        <v>2191.1999999999998</v>
      </c>
      <c r="J71" s="11">
        <f>1095.6*2</f>
        <v>2191.1999999999998</v>
      </c>
      <c r="K71" s="11"/>
      <c r="L71" s="5" t="s">
        <v>402</v>
      </c>
      <c r="M71" s="9">
        <v>42765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9"/>
      <c r="AF71" s="5"/>
      <c r="AG71" s="5"/>
      <c r="AH71" s="5"/>
    </row>
    <row r="72" spans="1:34" x14ac:dyDescent="0.25">
      <c r="A72" s="5" t="s">
        <v>34</v>
      </c>
      <c r="B72" s="10"/>
      <c r="C72" s="5" t="s">
        <v>335</v>
      </c>
      <c r="D72" s="5" t="str">
        <f t="shared" si="4"/>
        <v>AYUDAS</v>
      </c>
      <c r="E72" s="5" t="s">
        <v>394</v>
      </c>
      <c r="F72" s="5" t="s">
        <v>350</v>
      </c>
      <c r="G72" s="5" t="s">
        <v>26</v>
      </c>
      <c r="H72" s="5" t="s">
        <v>351</v>
      </c>
      <c r="I72" s="11">
        <f t="shared" si="5"/>
        <v>2191.1999999999998</v>
      </c>
      <c r="J72" s="11">
        <f>752.44*2</f>
        <v>1504.88</v>
      </c>
      <c r="K72" s="11"/>
      <c r="L72" s="5" t="s">
        <v>402</v>
      </c>
      <c r="M72" s="9">
        <v>42765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9"/>
      <c r="AF72" s="5"/>
      <c r="AG72" s="5"/>
      <c r="AH72" s="5"/>
    </row>
    <row r="73" spans="1:34" x14ac:dyDescent="0.25">
      <c r="A73" s="5" t="s">
        <v>34</v>
      </c>
      <c r="B73" s="10">
        <v>22170</v>
      </c>
      <c r="C73" s="5" t="s">
        <v>335</v>
      </c>
      <c r="D73" s="5" t="str">
        <f t="shared" si="4"/>
        <v>AYUDAS</v>
      </c>
      <c r="E73" s="5" t="s">
        <v>394</v>
      </c>
      <c r="F73" s="5" t="s">
        <v>388</v>
      </c>
      <c r="G73" s="5" t="s">
        <v>316</v>
      </c>
      <c r="H73" s="5" t="s">
        <v>389</v>
      </c>
      <c r="I73" s="11">
        <f t="shared" si="5"/>
        <v>2191.1999999999998</v>
      </c>
      <c r="J73" s="11">
        <f>715.9*2</f>
        <v>1431.8</v>
      </c>
      <c r="K73" s="11"/>
      <c r="L73" s="5" t="s">
        <v>402</v>
      </c>
      <c r="M73" s="9">
        <v>42765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9"/>
      <c r="AF73" s="5"/>
      <c r="AG73" s="5"/>
      <c r="AH73" s="5"/>
    </row>
    <row r="74" spans="1:34" x14ac:dyDescent="0.25">
      <c r="A74" s="5" t="s">
        <v>34</v>
      </c>
      <c r="B74" s="10">
        <v>22116</v>
      </c>
      <c r="C74" s="5" t="s">
        <v>335</v>
      </c>
      <c r="D74" s="5" t="str">
        <f t="shared" si="4"/>
        <v>AYUDAS</v>
      </c>
      <c r="E74" s="5" t="s">
        <v>394</v>
      </c>
      <c r="F74" s="5" t="s">
        <v>352</v>
      </c>
      <c r="G74" s="5" t="s">
        <v>135</v>
      </c>
      <c r="H74" s="5" t="s">
        <v>70</v>
      </c>
      <c r="I74" s="11">
        <f t="shared" si="5"/>
        <v>2191.1999999999998</v>
      </c>
      <c r="J74" s="11">
        <f>718.49*2</f>
        <v>1436.98</v>
      </c>
      <c r="K74" s="11"/>
      <c r="L74" s="5" t="s">
        <v>402</v>
      </c>
      <c r="M74" s="9">
        <v>42765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9"/>
      <c r="AF74" s="5"/>
      <c r="AG74" s="5"/>
      <c r="AH74" s="5"/>
    </row>
    <row r="75" spans="1:34" x14ac:dyDescent="0.25">
      <c r="A75" s="5" t="s">
        <v>34</v>
      </c>
      <c r="B75" s="10">
        <v>34738</v>
      </c>
      <c r="C75" s="5" t="s">
        <v>335</v>
      </c>
      <c r="D75" s="5" t="str">
        <f t="shared" si="4"/>
        <v>AYUDAS</v>
      </c>
      <c r="E75" s="5" t="s">
        <v>394</v>
      </c>
      <c r="F75" s="5" t="s">
        <v>353</v>
      </c>
      <c r="G75" s="5" t="s">
        <v>354</v>
      </c>
      <c r="H75" s="5" t="s">
        <v>355</v>
      </c>
      <c r="I75" s="11">
        <f t="shared" si="5"/>
        <v>2191.1999999999998</v>
      </c>
      <c r="J75" s="11">
        <f>1095.6*2</f>
        <v>2191.1999999999998</v>
      </c>
      <c r="K75" s="11"/>
      <c r="L75" s="5" t="s">
        <v>402</v>
      </c>
      <c r="M75" s="9">
        <v>42765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9"/>
      <c r="AF75" s="5"/>
      <c r="AG75" s="5"/>
      <c r="AH75" s="5"/>
    </row>
    <row r="76" spans="1:34" x14ac:dyDescent="0.25">
      <c r="A76" s="5" t="s">
        <v>34</v>
      </c>
      <c r="B76" s="10"/>
      <c r="C76" s="5" t="s">
        <v>335</v>
      </c>
      <c r="D76" s="5" t="str">
        <f t="shared" si="4"/>
        <v>AYUDAS</v>
      </c>
      <c r="E76" s="5" t="s">
        <v>394</v>
      </c>
      <c r="F76" s="5" t="s">
        <v>390</v>
      </c>
      <c r="G76" s="5" t="s">
        <v>215</v>
      </c>
      <c r="H76" s="5" t="s">
        <v>87</v>
      </c>
      <c r="I76" s="11">
        <f t="shared" si="5"/>
        <v>2191.1999999999998</v>
      </c>
      <c r="J76" s="11">
        <f>1095.6*2</f>
        <v>2191.1999999999998</v>
      </c>
      <c r="K76" s="11"/>
      <c r="L76" s="5" t="s">
        <v>402</v>
      </c>
      <c r="M76" s="9">
        <v>42765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9"/>
      <c r="AF76" s="5"/>
      <c r="AG76" s="5"/>
      <c r="AH76" s="5"/>
    </row>
    <row r="77" spans="1:34" x14ac:dyDescent="0.25">
      <c r="A77" s="5" t="s">
        <v>34</v>
      </c>
      <c r="B77" s="10">
        <v>28691</v>
      </c>
      <c r="C77" s="5" t="s">
        <v>335</v>
      </c>
      <c r="D77" s="5" t="str">
        <f t="shared" si="4"/>
        <v>AYUDAS</v>
      </c>
      <c r="E77" s="5" t="s">
        <v>394</v>
      </c>
      <c r="F77" s="5" t="s">
        <v>391</v>
      </c>
      <c r="G77" s="5" t="s">
        <v>392</v>
      </c>
      <c r="H77" s="5" t="s">
        <v>393</v>
      </c>
      <c r="I77" s="11">
        <f t="shared" si="5"/>
        <v>2191.1999999999998</v>
      </c>
      <c r="J77" s="11">
        <f>891.94*2</f>
        <v>1783.88</v>
      </c>
      <c r="K77" s="11"/>
      <c r="L77" s="5" t="s">
        <v>402</v>
      </c>
      <c r="M77" s="9">
        <v>42765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9"/>
      <c r="AF77" s="5"/>
      <c r="AG77" s="5"/>
      <c r="AH77" s="5"/>
    </row>
    <row r="78" spans="1:34" x14ac:dyDescent="0.25">
      <c r="A78" s="5" t="s">
        <v>34</v>
      </c>
      <c r="B78" s="10">
        <v>29822</v>
      </c>
      <c r="C78" s="5" t="s">
        <v>335</v>
      </c>
      <c r="D78" s="5" t="str">
        <f t="shared" si="4"/>
        <v>AYUDAS</v>
      </c>
      <c r="E78" s="5" t="s">
        <v>394</v>
      </c>
      <c r="F78" s="5" t="s">
        <v>356</v>
      </c>
      <c r="G78" s="5" t="s">
        <v>357</v>
      </c>
      <c r="H78" s="5" t="s">
        <v>145</v>
      </c>
      <c r="I78" s="11">
        <f t="shared" si="5"/>
        <v>2191.1999999999998</v>
      </c>
      <c r="J78" s="11">
        <f>1095.6*2</f>
        <v>2191.1999999999998</v>
      </c>
      <c r="K78" s="11"/>
      <c r="L78" s="5" t="s">
        <v>402</v>
      </c>
      <c r="M78" s="9">
        <v>42765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9"/>
      <c r="AF78" s="5"/>
      <c r="AG78" s="5"/>
      <c r="AH78" s="5"/>
    </row>
    <row r="79" spans="1:34" x14ac:dyDescent="0.25">
      <c r="A79" s="5" t="s">
        <v>34</v>
      </c>
      <c r="B79" s="10">
        <v>29816</v>
      </c>
      <c r="C79" s="5" t="s">
        <v>335</v>
      </c>
      <c r="D79" s="5" t="str">
        <f t="shared" si="4"/>
        <v>AYUDAS</v>
      </c>
      <c r="E79" s="5" t="s">
        <v>394</v>
      </c>
      <c r="F79" s="5" t="s">
        <v>358</v>
      </c>
      <c r="G79" s="5" t="s">
        <v>124</v>
      </c>
      <c r="H79" s="5" t="s">
        <v>322</v>
      </c>
      <c r="I79" s="11">
        <f t="shared" si="5"/>
        <v>2191.1999999999998</v>
      </c>
      <c r="J79" s="11">
        <f>1095.6*2</f>
        <v>2191.1999999999998</v>
      </c>
      <c r="K79" s="11"/>
      <c r="L79" s="5" t="s">
        <v>402</v>
      </c>
      <c r="M79" s="9">
        <v>42765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9"/>
      <c r="AF79" s="5"/>
      <c r="AG79" s="5"/>
      <c r="AH79" s="5"/>
    </row>
    <row r="80" spans="1:34" x14ac:dyDescent="0.25">
      <c r="A80" s="5" t="s">
        <v>34</v>
      </c>
      <c r="B80" s="10">
        <v>22342</v>
      </c>
      <c r="C80" s="5" t="s">
        <v>335</v>
      </c>
      <c r="D80" s="5" t="str">
        <f t="shared" si="4"/>
        <v>AYUDAS</v>
      </c>
      <c r="E80" s="5" t="s">
        <v>394</v>
      </c>
      <c r="F80" s="5" t="s">
        <v>361</v>
      </c>
      <c r="G80" s="5" t="s">
        <v>60</v>
      </c>
      <c r="H80" s="5" t="s">
        <v>215</v>
      </c>
      <c r="I80" s="11">
        <f t="shared" si="5"/>
        <v>2191.1999999999998</v>
      </c>
      <c r="J80" s="11">
        <f>142.9*2</f>
        <v>285.8</v>
      </c>
      <c r="K80" s="11"/>
      <c r="L80" s="5" t="s">
        <v>402</v>
      </c>
      <c r="M80" s="9">
        <v>42765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9"/>
      <c r="AF80" s="5"/>
      <c r="AG80" s="5"/>
      <c r="AH80" s="5"/>
    </row>
    <row r="81" spans="1:34" x14ac:dyDescent="0.25">
      <c r="A81" s="5" t="s">
        <v>34</v>
      </c>
      <c r="B81" s="10">
        <v>31</v>
      </c>
      <c r="C81" s="5" t="s">
        <v>335</v>
      </c>
      <c r="D81" s="5" t="str">
        <f t="shared" si="4"/>
        <v>AYUDAS</v>
      </c>
      <c r="E81" s="5" t="s">
        <v>394</v>
      </c>
      <c r="F81" s="5" t="s">
        <v>362</v>
      </c>
      <c r="G81" s="5" t="s">
        <v>363</v>
      </c>
      <c r="H81" s="5" t="s">
        <v>120</v>
      </c>
      <c r="I81" s="11">
        <f t="shared" si="5"/>
        <v>2191.1999999999998</v>
      </c>
      <c r="J81" s="11">
        <f t="shared" ref="J81:J86" si="6">1095.6*2</f>
        <v>2191.1999999999998</v>
      </c>
      <c r="K81" s="11"/>
      <c r="L81" s="5" t="s">
        <v>402</v>
      </c>
      <c r="M81" s="9">
        <v>42765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9"/>
      <c r="AF81" s="5"/>
      <c r="AG81" s="5"/>
      <c r="AH81" s="5"/>
    </row>
    <row r="82" spans="1:34" x14ac:dyDescent="0.25">
      <c r="A82" s="5" t="s">
        <v>34</v>
      </c>
      <c r="B82" s="10">
        <v>34739</v>
      </c>
      <c r="C82" s="5" t="s">
        <v>335</v>
      </c>
      <c r="D82" s="5" t="str">
        <f t="shared" si="4"/>
        <v>AYUDAS</v>
      </c>
      <c r="E82" s="5" t="s">
        <v>394</v>
      </c>
      <c r="F82" s="5" t="s">
        <v>359</v>
      </c>
      <c r="G82" s="5" t="s">
        <v>360</v>
      </c>
      <c r="H82" s="5" t="s">
        <v>237</v>
      </c>
      <c r="I82" s="11">
        <f t="shared" si="5"/>
        <v>2191.1999999999998</v>
      </c>
      <c r="J82" s="11">
        <f t="shared" si="6"/>
        <v>2191.1999999999998</v>
      </c>
      <c r="K82" s="11"/>
      <c r="L82" s="5" t="s">
        <v>402</v>
      </c>
      <c r="M82" s="9">
        <v>42765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9"/>
      <c r="AF82" s="5"/>
      <c r="AG82" s="5"/>
      <c r="AH82" s="5"/>
    </row>
    <row r="83" spans="1:34" x14ac:dyDescent="0.25">
      <c r="A83" s="5" t="s">
        <v>34</v>
      </c>
      <c r="B83" s="10">
        <v>8905</v>
      </c>
      <c r="C83" s="5" t="s">
        <v>335</v>
      </c>
      <c r="D83" s="5" t="str">
        <f t="shared" si="4"/>
        <v>AYUDAS</v>
      </c>
      <c r="E83" s="5" t="s">
        <v>394</v>
      </c>
      <c r="F83" s="5" t="s">
        <v>364</v>
      </c>
      <c r="G83" s="5" t="s">
        <v>365</v>
      </c>
      <c r="H83" s="5" t="s">
        <v>366</v>
      </c>
      <c r="I83" s="11">
        <f t="shared" si="5"/>
        <v>2191.1999999999998</v>
      </c>
      <c r="J83" s="11">
        <f t="shared" si="6"/>
        <v>2191.1999999999998</v>
      </c>
      <c r="K83" s="11"/>
      <c r="L83" s="5" t="s">
        <v>402</v>
      </c>
      <c r="M83" s="9">
        <v>42765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9"/>
      <c r="AF83" s="5"/>
      <c r="AG83" s="5"/>
      <c r="AH83" s="5"/>
    </row>
    <row r="84" spans="1:34" x14ac:dyDescent="0.25">
      <c r="A84" s="5" t="s">
        <v>34</v>
      </c>
      <c r="B84" s="10">
        <v>22939</v>
      </c>
      <c r="C84" s="5" t="s">
        <v>335</v>
      </c>
      <c r="D84" s="5" t="str">
        <f t="shared" si="4"/>
        <v>AYUDAS</v>
      </c>
      <c r="E84" s="5" t="s">
        <v>394</v>
      </c>
      <c r="F84" s="5" t="s">
        <v>367</v>
      </c>
      <c r="G84" s="5" t="s">
        <v>239</v>
      </c>
      <c r="H84" s="5" t="s">
        <v>368</v>
      </c>
      <c r="I84" s="11">
        <f t="shared" si="5"/>
        <v>2191.1999999999998</v>
      </c>
      <c r="J84" s="11">
        <f t="shared" si="6"/>
        <v>2191.1999999999998</v>
      </c>
      <c r="K84" s="11"/>
      <c r="L84" s="5" t="s">
        <v>402</v>
      </c>
      <c r="M84" s="9">
        <v>42765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9"/>
      <c r="AF84" s="5"/>
      <c r="AG84" s="5"/>
      <c r="AH84" s="5"/>
    </row>
    <row r="85" spans="1:34" x14ac:dyDescent="0.25">
      <c r="A85" s="5" t="s">
        <v>34</v>
      </c>
      <c r="B85" s="10">
        <v>34232</v>
      </c>
      <c r="C85" s="5" t="s">
        <v>335</v>
      </c>
      <c r="D85" s="5" t="str">
        <f t="shared" si="4"/>
        <v>AYUDAS</v>
      </c>
      <c r="E85" s="5" t="s">
        <v>394</v>
      </c>
      <c r="F85" s="5" t="s">
        <v>369</v>
      </c>
      <c r="G85" s="5" t="s">
        <v>252</v>
      </c>
      <c r="H85" s="5" t="s">
        <v>127</v>
      </c>
      <c r="I85" s="11">
        <f t="shared" si="5"/>
        <v>2191.1999999999998</v>
      </c>
      <c r="J85" s="11">
        <f t="shared" si="6"/>
        <v>2191.1999999999998</v>
      </c>
      <c r="K85" s="11"/>
      <c r="L85" s="5" t="s">
        <v>402</v>
      </c>
      <c r="M85" s="9">
        <v>42765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9"/>
      <c r="AF85" s="5"/>
      <c r="AG85" s="5"/>
      <c r="AH85" s="5"/>
    </row>
    <row r="86" spans="1:34" x14ac:dyDescent="0.25">
      <c r="A86" s="5" t="s">
        <v>34</v>
      </c>
      <c r="B86" s="10"/>
      <c r="C86" s="5" t="s">
        <v>335</v>
      </c>
      <c r="D86" s="5" t="str">
        <f t="shared" si="4"/>
        <v>AYUDAS</v>
      </c>
      <c r="E86" s="5" t="s">
        <v>394</v>
      </c>
      <c r="F86" s="5" t="s">
        <v>370</v>
      </c>
      <c r="G86" s="5" t="s">
        <v>148</v>
      </c>
      <c r="H86" s="5" t="s">
        <v>371</v>
      </c>
      <c r="I86" s="11">
        <f t="shared" si="5"/>
        <v>2191.1999999999998</v>
      </c>
      <c r="J86" s="11">
        <f t="shared" si="6"/>
        <v>2191.1999999999998</v>
      </c>
      <c r="K86" s="11"/>
      <c r="L86" s="5" t="s">
        <v>402</v>
      </c>
      <c r="M86" s="9">
        <v>42765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9"/>
      <c r="AF86" s="5"/>
      <c r="AG86" s="5"/>
      <c r="AH86" s="5"/>
    </row>
    <row r="87" spans="1:34" x14ac:dyDescent="0.25">
      <c r="A87" s="5" t="s">
        <v>34</v>
      </c>
      <c r="B87" s="10">
        <v>28893</v>
      </c>
      <c r="C87" s="5" t="s">
        <v>335</v>
      </c>
      <c r="D87" s="5" t="str">
        <f t="shared" si="4"/>
        <v>AYUDAS</v>
      </c>
      <c r="E87" s="5" t="s">
        <v>394</v>
      </c>
      <c r="F87" s="5" t="s">
        <v>372</v>
      </c>
      <c r="G87" s="5" t="s">
        <v>148</v>
      </c>
      <c r="H87" s="5" t="s">
        <v>26</v>
      </c>
      <c r="I87" s="11">
        <f t="shared" si="5"/>
        <v>2191.1999999999998</v>
      </c>
      <c r="J87" s="11">
        <f>725.67*2</f>
        <v>1451.34</v>
      </c>
      <c r="K87" s="11"/>
      <c r="L87" s="5" t="s">
        <v>402</v>
      </c>
      <c r="M87" s="9">
        <v>42765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9"/>
      <c r="AF87" s="5"/>
      <c r="AG87" s="5"/>
      <c r="AH87" s="5"/>
    </row>
    <row r="88" spans="1:34" x14ac:dyDescent="0.25">
      <c r="A88" s="5" t="s">
        <v>34</v>
      </c>
      <c r="B88" s="10">
        <v>33428</v>
      </c>
      <c r="C88" s="5" t="s">
        <v>335</v>
      </c>
      <c r="D88" s="5" t="str">
        <f t="shared" si="4"/>
        <v>AYUDAS</v>
      </c>
      <c r="E88" s="5" t="s">
        <v>394</v>
      </c>
      <c r="F88" s="5" t="s">
        <v>373</v>
      </c>
      <c r="G88" s="5" t="s">
        <v>206</v>
      </c>
      <c r="H88" s="5" t="s">
        <v>374</v>
      </c>
      <c r="I88" s="11">
        <f t="shared" si="5"/>
        <v>2191.1999999999998</v>
      </c>
      <c r="J88" s="11">
        <f>1095.6*2</f>
        <v>2191.1999999999998</v>
      </c>
      <c r="K88" s="11"/>
      <c r="L88" s="5" t="s">
        <v>402</v>
      </c>
      <c r="M88" s="9">
        <v>42765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9"/>
      <c r="AF88" s="5"/>
      <c r="AG88" s="5"/>
      <c r="AH88" s="5"/>
    </row>
    <row r="89" spans="1:34" x14ac:dyDescent="0.25">
      <c r="A89" s="5" t="s">
        <v>34</v>
      </c>
      <c r="B89" s="10">
        <v>23598</v>
      </c>
      <c r="C89" s="5" t="s">
        <v>335</v>
      </c>
      <c r="D89" s="5" t="str">
        <f t="shared" si="4"/>
        <v>AYUDAS</v>
      </c>
      <c r="E89" s="5" t="s">
        <v>394</v>
      </c>
      <c r="F89" s="5" t="s">
        <v>375</v>
      </c>
      <c r="G89" s="5" t="s">
        <v>376</v>
      </c>
      <c r="H89" s="5" t="s">
        <v>377</v>
      </c>
      <c r="I89" s="11">
        <f t="shared" si="5"/>
        <v>2191.1999999999998</v>
      </c>
      <c r="J89" s="11">
        <f>774.35*2</f>
        <v>1548.7</v>
      </c>
      <c r="K89" s="11"/>
      <c r="L89" s="5" t="s">
        <v>402</v>
      </c>
      <c r="M89" s="9">
        <v>42765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9"/>
      <c r="AF89" s="5"/>
      <c r="AG89" s="5"/>
      <c r="AH89" s="5"/>
    </row>
    <row r="90" spans="1:34" x14ac:dyDescent="0.25">
      <c r="A90" s="5" t="s">
        <v>34</v>
      </c>
      <c r="B90" s="10">
        <v>22119</v>
      </c>
      <c r="C90" s="5" t="s">
        <v>335</v>
      </c>
      <c r="D90" s="5" t="str">
        <f t="shared" si="4"/>
        <v>AYUDAS</v>
      </c>
      <c r="E90" s="5" t="s">
        <v>394</v>
      </c>
      <c r="F90" s="5" t="s">
        <v>116</v>
      </c>
      <c r="G90" s="5" t="s">
        <v>120</v>
      </c>
      <c r="H90" s="5" t="s">
        <v>378</v>
      </c>
      <c r="I90" s="11">
        <f t="shared" si="5"/>
        <v>2191.1999999999998</v>
      </c>
      <c r="J90" s="11">
        <f>1095.6*2</f>
        <v>2191.1999999999998</v>
      </c>
      <c r="K90" s="11"/>
      <c r="L90" s="5" t="s">
        <v>402</v>
      </c>
      <c r="M90" s="9">
        <v>42765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9"/>
      <c r="AF90" s="5"/>
      <c r="AG90" s="5"/>
      <c r="AH90" s="5"/>
    </row>
    <row r="91" spans="1:34" x14ac:dyDescent="0.25">
      <c r="A91" s="5" t="s">
        <v>34</v>
      </c>
      <c r="B91" s="10">
        <v>23282</v>
      </c>
      <c r="C91" s="5" t="s">
        <v>335</v>
      </c>
      <c r="D91" s="5" t="str">
        <f t="shared" si="4"/>
        <v>AYUDAS</v>
      </c>
      <c r="E91" s="5" t="s">
        <v>394</v>
      </c>
      <c r="F91" s="5" t="s">
        <v>379</v>
      </c>
      <c r="G91" s="5" t="s">
        <v>380</v>
      </c>
      <c r="H91" s="5" t="s">
        <v>381</v>
      </c>
      <c r="I91" s="11">
        <f t="shared" si="5"/>
        <v>2191.1999999999998</v>
      </c>
      <c r="J91" s="11">
        <f>1095.6*2</f>
        <v>2191.1999999999998</v>
      </c>
      <c r="K91" s="11"/>
      <c r="L91" s="5" t="s">
        <v>402</v>
      </c>
      <c r="M91" s="9">
        <v>42765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9"/>
      <c r="AF91" s="5"/>
      <c r="AG91" s="5"/>
      <c r="AH91" s="5"/>
    </row>
    <row r="92" spans="1:34" x14ac:dyDescent="0.25">
      <c r="A92" s="5" t="s">
        <v>34</v>
      </c>
      <c r="B92" s="10"/>
      <c r="C92" s="5" t="s">
        <v>335</v>
      </c>
      <c r="D92" s="5" t="str">
        <f t="shared" si="4"/>
        <v>AYUDAS</v>
      </c>
      <c r="E92" s="5" t="s">
        <v>394</v>
      </c>
      <c r="F92" s="5" t="s">
        <v>382</v>
      </c>
      <c r="G92" s="5" t="s">
        <v>380</v>
      </c>
      <c r="H92" s="5" t="s">
        <v>381</v>
      </c>
      <c r="I92" s="11">
        <f t="shared" si="5"/>
        <v>2191.1999999999998</v>
      </c>
      <c r="J92" s="11">
        <f>718.49*2</f>
        <v>1436.98</v>
      </c>
      <c r="K92" s="11"/>
      <c r="L92" s="5" t="s">
        <v>402</v>
      </c>
      <c r="M92" s="9">
        <v>42765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9"/>
      <c r="AF92" s="5"/>
      <c r="AG92" s="5"/>
      <c r="AH92" s="5"/>
    </row>
    <row r="93" spans="1:34" x14ac:dyDescent="0.25">
      <c r="A93" s="5" t="s">
        <v>34</v>
      </c>
      <c r="B93" s="10">
        <v>31993</v>
      </c>
      <c r="C93" s="5" t="s">
        <v>335</v>
      </c>
      <c r="D93" s="5" t="str">
        <f t="shared" si="4"/>
        <v>AYUDAS</v>
      </c>
      <c r="E93" s="5" t="s">
        <v>394</v>
      </c>
      <c r="F93" s="5" t="s">
        <v>383</v>
      </c>
      <c r="G93" s="5" t="s">
        <v>384</v>
      </c>
      <c r="H93" s="5" t="s">
        <v>65</v>
      </c>
      <c r="I93" s="11">
        <f t="shared" si="5"/>
        <v>2191.1999999999998</v>
      </c>
      <c r="J93" s="11">
        <v>0</v>
      </c>
      <c r="K93" s="11"/>
      <c r="L93" s="5" t="s">
        <v>402</v>
      </c>
      <c r="M93" s="9">
        <v>42765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9"/>
      <c r="AF93" s="5"/>
      <c r="AG93" s="5"/>
      <c r="AH93" s="5"/>
    </row>
    <row r="94" spans="1:34" x14ac:dyDescent="0.25">
      <c r="A94" s="5" t="s">
        <v>34</v>
      </c>
      <c r="B94" s="10">
        <v>26160</v>
      </c>
      <c r="C94" s="5" t="s">
        <v>335</v>
      </c>
      <c r="D94" s="5" t="str">
        <f t="shared" si="4"/>
        <v>AYUDAS</v>
      </c>
      <c r="E94" s="5" t="s">
        <v>394</v>
      </c>
      <c r="F94" s="5" t="s">
        <v>385</v>
      </c>
      <c r="G94" s="5" t="s">
        <v>71</v>
      </c>
      <c r="H94" s="5" t="s">
        <v>386</v>
      </c>
      <c r="I94" s="11">
        <f t="shared" si="5"/>
        <v>2191.1999999999998</v>
      </c>
      <c r="J94" s="11">
        <f>1095.6*2</f>
        <v>2191.1999999999998</v>
      </c>
      <c r="K94" s="11"/>
      <c r="L94" s="5" t="s">
        <v>402</v>
      </c>
      <c r="M94" s="9">
        <v>42765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9"/>
      <c r="AF94" s="5"/>
      <c r="AG94" s="5"/>
      <c r="AH94" s="5"/>
    </row>
    <row r="95" spans="1:34" x14ac:dyDescent="0.25">
      <c r="A95" s="5" t="s">
        <v>34</v>
      </c>
      <c r="B95" s="10">
        <v>34845</v>
      </c>
      <c r="C95" s="5" t="s">
        <v>161</v>
      </c>
      <c r="D95" s="5" t="str">
        <f t="shared" si="4"/>
        <v>CAPTURISTA B</v>
      </c>
      <c r="E95" s="5" t="s">
        <v>115</v>
      </c>
      <c r="F95" s="5" t="s">
        <v>169</v>
      </c>
      <c r="G95" s="5" t="s">
        <v>201</v>
      </c>
      <c r="H95" s="5" t="s">
        <v>151</v>
      </c>
      <c r="I95" s="11">
        <f>(2348.42+200)*2</f>
        <v>5096.84</v>
      </c>
      <c r="J95" s="11">
        <f>2150.94*2</f>
        <v>4301.88</v>
      </c>
      <c r="K95" s="11">
        <v>250</v>
      </c>
      <c r="L95" s="5" t="s">
        <v>402</v>
      </c>
      <c r="M95" s="9">
        <v>42765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>
        <v>1150</v>
      </c>
      <c r="AD95" s="5" t="s">
        <v>326</v>
      </c>
      <c r="AE95" s="9">
        <v>42740</v>
      </c>
      <c r="AF95" s="5"/>
      <c r="AG95" s="5"/>
      <c r="AH95" s="5"/>
    </row>
    <row r="96" spans="1:34" x14ac:dyDescent="0.25">
      <c r="A96" s="5" t="s">
        <v>399</v>
      </c>
      <c r="B96" s="10">
        <v>21405</v>
      </c>
      <c r="C96" s="5" t="s">
        <v>36</v>
      </c>
      <c r="D96" s="5" t="str">
        <f t="shared" si="4"/>
        <v>COORDINADOR</v>
      </c>
      <c r="E96" s="5" t="s">
        <v>35</v>
      </c>
      <c r="F96" s="5" t="s">
        <v>41</v>
      </c>
      <c r="G96" s="5" t="s">
        <v>42</v>
      </c>
      <c r="H96" s="5" t="s">
        <v>43</v>
      </c>
      <c r="I96" s="11">
        <f>(18329.69+950)*2</f>
        <v>38559.379999999997</v>
      </c>
      <c r="J96" s="11">
        <f>4834.75*2</f>
        <v>9669.5</v>
      </c>
      <c r="K96" s="11"/>
      <c r="L96" s="5" t="s">
        <v>402</v>
      </c>
      <c r="M96" s="9">
        <v>42765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5" t="s">
        <v>399</v>
      </c>
      <c r="B97" s="10">
        <v>33338</v>
      </c>
      <c r="C97" s="5" t="s">
        <v>36</v>
      </c>
      <c r="D97" s="5" t="str">
        <f t="shared" si="4"/>
        <v>COORDINADOR</v>
      </c>
      <c r="E97" s="5" t="s">
        <v>115</v>
      </c>
      <c r="F97" s="5" t="s">
        <v>119</v>
      </c>
      <c r="G97" s="5" t="s">
        <v>120</v>
      </c>
      <c r="H97" s="5" t="s">
        <v>121</v>
      </c>
      <c r="I97" s="11">
        <f>(7391.25+950)*2</f>
        <v>16682.5</v>
      </c>
      <c r="J97" s="11">
        <f>6005.92*2</f>
        <v>12011.84</v>
      </c>
      <c r="K97" s="11"/>
      <c r="L97" s="5" t="s">
        <v>402</v>
      </c>
      <c r="M97" s="9">
        <v>42765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5" t="s">
        <v>399</v>
      </c>
      <c r="B98" s="10">
        <v>22730</v>
      </c>
      <c r="C98" s="5" t="s">
        <v>36</v>
      </c>
      <c r="D98" s="5" t="str">
        <f t="shared" ref="D98:D129" si="7">+C98</f>
        <v>COORDINADOR</v>
      </c>
      <c r="E98" s="5" t="s">
        <v>275</v>
      </c>
      <c r="F98" s="5" t="s">
        <v>273</v>
      </c>
      <c r="G98" s="5" t="s">
        <v>274</v>
      </c>
      <c r="H98" s="5" t="s">
        <v>206</v>
      </c>
      <c r="I98" s="11">
        <f>(7391.25+41+950)*2</f>
        <v>16764.5</v>
      </c>
      <c r="J98" s="11">
        <f>5316.34*2</f>
        <v>10632.68</v>
      </c>
      <c r="K98" s="11"/>
      <c r="L98" s="5" t="s">
        <v>402</v>
      </c>
      <c r="M98" s="9">
        <v>42765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5" t="s">
        <v>34</v>
      </c>
      <c r="B99" s="10">
        <v>33907</v>
      </c>
      <c r="C99" s="5" t="s">
        <v>292</v>
      </c>
      <c r="D99" s="5" t="str">
        <f t="shared" si="7"/>
        <v>DIRECTOR C</v>
      </c>
      <c r="E99" s="5" t="s">
        <v>290</v>
      </c>
      <c r="F99" s="5" t="s">
        <v>311</v>
      </c>
      <c r="G99" s="5" t="s">
        <v>71</v>
      </c>
      <c r="H99" s="5" t="s">
        <v>312</v>
      </c>
      <c r="I99" s="11">
        <f>(17112.36)*2</f>
        <v>34224.720000000001</v>
      </c>
      <c r="J99" s="11">
        <f>12669.71*2</f>
        <v>25339.42</v>
      </c>
      <c r="K99" s="11"/>
      <c r="L99" s="5" t="s">
        <v>402</v>
      </c>
      <c r="M99" s="9">
        <v>42765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5" t="s">
        <v>399</v>
      </c>
      <c r="B100" s="10">
        <v>33900</v>
      </c>
      <c r="C100" s="5" t="s">
        <v>22</v>
      </c>
      <c r="D100" s="5" t="str">
        <f t="shared" si="7"/>
        <v>DIRECTOR DE AREA</v>
      </c>
      <c r="E100" s="5" t="s">
        <v>24</v>
      </c>
      <c r="F100" s="5" t="s">
        <v>25</v>
      </c>
      <c r="G100" s="5" t="s">
        <v>26</v>
      </c>
      <c r="H100" s="5" t="s">
        <v>27</v>
      </c>
      <c r="I100" s="11">
        <f>(14230.85+950)*2</f>
        <v>30361.7</v>
      </c>
      <c r="J100" s="11">
        <f>10506.68*2</f>
        <v>21013.360000000001</v>
      </c>
      <c r="K100" s="11"/>
      <c r="L100" s="5" t="s">
        <v>402</v>
      </c>
      <c r="M100" s="9">
        <v>42765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5" t="s">
        <v>399</v>
      </c>
      <c r="B101" s="10">
        <v>33971</v>
      </c>
      <c r="C101" s="5" t="s">
        <v>22</v>
      </c>
      <c r="D101" s="5" t="str">
        <f t="shared" si="7"/>
        <v>DIRECTOR DE AREA</v>
      </c>
      <c r="E101" s="5" t="s">
        <v>290</v>
      </c>
      <c r="F101" s="5" t="s">
        <v>315</v>
      </c>
      <c r="G101" s="5" t="s">
        <v>316</v>
      </c>
      <c r="H101" s="5" t="s">
        <v>304</v>
      </c>
      <c r="I101" s="11">
        <f>(17807.67+950)*2</f>
        <v>37515.339999999997</v>
      </c>
      <c r="J101" s="11">
        <f>12479.03*2</f>
        <v>24958.06</v>
      </c>
      <c r="K101" s="11"/>
      <c r="L101" s="5" t="s">
        <v>402</v>
      </c>
      <c r="M101" s="9">
        <v>42765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5" t="s">
        <v>399</v>
      </c>
      <c r="B102" s="10">
        <v>34541</v>
      </c>
      <c r="C102" s="5" t="s">
        <v>423</v>
      </c>
      <c r="D102" s="5" t="str">
        <f t="shared" si="7"/>
        <v>SUBSECRETARIA</v>
      </c>
      <c r="E102" s="5" t="s">
        <v>424</v>
      </c>
      <c r="F102" s="5" t="s">
        <v>86</v>
      </c>
      <c r="G102" s="5" t="s">
        <v>87</v>
      </c>
      <c r="H102" s="5" t="s">
        <v>88</v>
      </c>
      <c r="I102" s="11">
        <f>(14230.85+950)*2</f>
        <v>30361.7</v>
      </c>
      <c r="J102" s="11">
        <f>10506.68*2</f>
        <v>21013.360000000001</v>
      </c>
      <c r="K102" s="11"/>
      <c r="L102" s="5" t="s">
        <v>402</v>
      </c>
      <c r="M102" s="9">
        <v>42765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5" t="s">
        <v>399</v>
      </c>
      <c r="B103" s="10">
        <v>32383</v>
      </c>
      <c r="C103" s="5" t="s">
        <v>22</v>
      </c>
      <c r="D103" s="5" t="str">
        <f t="shared" si="7"/>
        <v>DIRECTOR DE AREA</v>
      </c>
      <c r="E103" s="5" t="s">
        <v>235</v>
      </c>
      <c r="F103" s="5" t="s">
        <v>288</v>
      </c>
      <c r="G103" s="5" t="s">
        <v>206</v>
      </c>
      <c r="H103" s="5" t="s">
        <v>289</v>
      </c>
      <c r="I103" s="11">
        <f>(17807.67+950)*2</f>
        <v>37515.339999999997</v>
      </c>
      <c r="J103" s="11">
        <f>12479.03*2</f>
        <v>24958.06</v>
      </c>
      <c r="K103" s="11"/>
      <c r="L103" s="5" t="s">
        <v>402</v>
      </c>
      <c r="M103" s="9">
        <v>42765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5" t="s">
        <v>399</v>
      </c>
      <c r="B104" s="10" t="s">
        <v>418</v>
      </c>
      <c r="C104" s="5" t="s">
        <v>22</v>
      </c>
      <c r="D104" s="5" t="str">
        <f t="shared" si="7"/>
        <v>DIRECTOR DE AREA</v>
      </c>
      <c r="E104" s="5" t="s">
        <v>426</v>
      </c>
      <c r="F104" s="5" t="s">
        <v>262</v>
      </c>
      <c r="G104" s="5" t="s">
        <v>263</v>
      </c>
      <c r="H104" s="5" t="s">
        <v>264</v>
      </c>
      <c r="I104" s="11">
        <f>(14230.85+950)*2</f>
        <v>30361.7</v>
      </c>
      <c r="J104" s="11">
        <f>10506.68*2</f>
        <v>21013.360000000001</v>
      </c>
      <c r="K104" s="11"/>
      <c r="L104" s="5" t="s">
        <v>402</v>
      </c>
      <c r="M104" s="9">
        <v>42765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5" t="s">
        <v>399</v>
      </c>
      <c r="B105" s="10">
        <v>16298</v>
      </c>
      <c r="C105" s="5" t="s">
        <v>76</v>
      </c>
      <c r="D105" s="5" t="str">
        <f t="shared" si="7"/>
        <v>INSPECTOR A</v>
      </c>
      <c r="E105" s="5" t="s">
        <v>72</v>
      </c>
      <c r="F105" s="5" t="s">
        <v>83</v>
      </c>
      <c r="G105" s="5" t="s">
        <v>95</v>
      </c>
      <c r="H105" s="5" t="s">
        <v>96</v>
      </c>
      <c r="I105" s="11">
        <f>(4224.67+54.5+200)*2</f>
        <v>8958.34</v>
      </c>
      <c r="J105" s="11">
        <f>2245.44*2</f>
        <v>4490.88</v>
      </c>
      <c r="K105" s="11">
        <v>250</v>
      </c>
      <c r="L105" s="5" t="s">
        <v>402</v>
      </c>
      <c r="M105" s="9">
        <v>42765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1150</v>
      </c>
      <c r="AD105" s="5" t="s">
        <v>326</v>
      </c>
      <c r="AE105" s="9">
        <v>42740</v>
      </c>
      <c r="AF105" s="5"/>
      <c r="AG105" s="5"/>
      <c r="AH105" s="5"/>
    </row>
    <row r="106" spans="1:34" x14ac:dyDescent="0.25">
      <c r="A106" s="5" t="s">
        <v>399</v>
      </c>
      <c r="B106" s="10">
        <v>25594</v>
      </c>
      <c r="C106" s="5" t="s">
        <v>76</v>
      </c>
      <c r="D106" s="5" t="str">
        <f t="shared" si="7"/>
        <v>INSPECTOR A</v>
      </c>
      <c r="E106" s="5" t="s">
        <v>72</v>
      </c>
      <c r="F106" s="5" t="s">
        <v>84</v>
      </c>
      <c r="G106" s="5" t="s">
        <v>48</v>
      </c>
      <c r="H106" s="5" t="s">
        <v>29</v>
      </c>
      <c r="I106" s="11">
        <f>(4224.67+41+200)*2</f>
        <v>8931.34</v>
      </c>
      <c r="J106" s="11">
        <f>1064.75*2</f>
        <v>2129.5</v>
      </c>
      <c r="K106" s="11">
        <v>250</v>
      </c>
      <c r="L106" s="5" t="s">
        <v>402</v>
      </c>
      <c r="M106" s="9">
        <v>42765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>
        <v>1150</v>
      </c>
      <c r="AD106" s="5" t="s">
        <v>326</v>
      </c>
      <c r="AE106" s="9">
        <v>42740</v>
      </c>
      <c r="AF106" s="5"/>
      <c r="AG106" s="5"/>
      <c r="AH106" s="5"/>
    </row>
    <row r="107" spans="1:34" x14ac:dyDescent="0.25">
      <c r="A107" s="5" t="s">
        <v>399</v>
      </c>
      <c r="B107" s="10" t="s">
        <v>417</v>
      </c>
      <c r="C107" s="5" t="s">
        <v>76</v>
      </c>
      <c r="D107" s="5" t="str">
        <f t="shared" si="7"/>
        <v>INSPECTOR A</v>
      </c>
      <c r="E107" s="5" t="s">
        <v>261</v>
      </c>
      <c r="F107" s="5" t="s">
        <v>332</v>
      </c>
      <c r="G107" s="5" t="s">
        <v>272</v>
      </c>
      <c r="H107" s="5" t="s">
        <v>215</v>
      </c>
      <c r="I107" s="11">
        <f>(4224.67+200)*2</f>
        <v>8849.34</v>
      </c>
      <c r="J107" s="11">
        <f>3393.28*2</f>
        <v>6786.56</v>
      </c>
      <c r="K107" s="11">
        <v>250</v>
      </c>
      <c r="L107" s="5" t="s">
        <v>402</v>
      </c>
      <c r="M107" s="9">
        <v>42765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>
        <v>1150</v>
      </c>
      <c r="AD107" s="5" t="s">
        <v>326</v>
      </c>
      <c r="AE107" s="9">
        <v>42740</v>
      </c>
      <c r="AF107" s="5"/>
      <c r="AG107" s="5"/>
      <c r="AH107" s="5"/>
    </row>
    <row r="108" spans="1:34" x14ac:dyDescent="0.25">
      <c r="A108" s="5" t="s">
        <v>401</v>
      </c>
      <c r="B108" s="10">
        <v>31678</v>
      </c>
      <c r="C108" s="5" t="s">
        <v>39</v>
      </c>
      <c r="D108" s="5" t="str">
        <f t="shared" si="7"/>
        <v>INTENDENTE</v>
      </c>
      <c r="E108" s="5" t="s">
        <v>35</v>
      </c>
      <c r="F108" s="5" t="s">
        <v>58</v>
      </c>
      <c r="G108" s="5" t="s">
        <v>59</v>
      </c>
      <c r="H108" s="5" t="s">
        <v>60</v>
      </c>
      <c r="I108" s="11">
        <f>(2989.67+23+200)*2</f>
        <v>6425.34</v>
      </c>
      <c r="J108" s="11">
        <f>2594.45*2</f>
        <v>5188.8999999999996</v>
      </c>
      <c r="K108" s="11">
        <v>250</v>
      </c>
      <c r="L108" s="5" t="s">
        <v>402</v>
      </c>
      <c r="M108" s="9">
        <v>42765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>
        <v>1150</v>
      </c>
      <c r="AD108" s="5" t="s">
        <v>326</v>
      </c>
      <c r="AE108" s="9">
        <v>42740</v>
      </c>
      <c r="AF108" s="5"/>
      <c r="AG108" s="5"/>
      <c r="AH108" s="5"/>
    </row>
    <row r="109" spans="1:34" x14ac:dyDescent="0.25">
      <c r="A109" s="5" t="s">
        <v>399</v>
      </c>
      <c r="B109" s="10">
        <v>34161</v>
      </c>
      <c r="C109" s="5" t="s">
        <v>73</v>
      </c>
      <c r="D109" s="5" t="str">
        <f t="shared" si="7"/>
        <v>JEFE DE DEPARTAMENTO</v>
      </c>
      <c r="E109" s="5" t="s">
        <v>115</v>
      </c>
      <c r="F109" s="5" t="s">
        <v>178</v>
      </c>
      <c r="G109" s="5" t="s">
        <v>29</v>
      </c>
      <c r="H109" s="5" t="s">
        <v>206</v>
      </c>
      <c r="I109" s="11">
        <f>(5839.44+950)*2</f>
        <v>13578.88</v>
      </c>
      <c r="J109" s="11">
        <f>5233*2</f>
        <v>10466</v>
      </c>
      <c r="K109" s="11"/>
      <c r="L109" s="5" t="s">
        <v>402</v>
      </c>
      <c r="M109" s="9">
        <v>42765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5" t="s">
        <v>399</v>
      </c>
      <c r="B110" s="10">
        <v>24451</v>
      </c>
      <c r="C110" s="5" t="s">
        <v>73</v>
      </c>
      <c r="D110" s="5" t="str">
        <f t="shared" si="7"/>
        <v>JEFE DE DEPARTAMENTO</v>
      </c>
      <c r="E110" s="5" t="s">
        <v>72</v>
      </c>
      <c r="F110" s="5" t="s">
        <v>79</v>
      </c>
      <c r="G110" s="5" t="s">
        <v>89</v>
      </c>
      <c r="H110" s="5" t="s">
        <v>90</v>
      </c>
      <c r="I110" s="11">
        <f>(5839.44+41+950)*2</f>
        <v>13660.88</v>
      </c>
      <c r="J110" s="11">
        <f>4688.83*2</f>
        <v>9377.66</v>
      </c>
      <c r="K110" s="11"/>
      <c r="L110" s="5" t="s">
        <v>402</v>
      </c>
      <c r="M110" s="9">
        <v>42765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5" t="s">
        <v>34</v>
      </c>
      <c r="B111" s="10">
        <v>35051</v>
      </c>
      <c r="C111" s="5" t="s">
        <v>73</v>
      </c>
      <c r="D111" s="5" t="str">
        <f t="shared" si="7"/>
        <v>JEFE DE DEPARTAMENTO</v>
      </c>
      <c r="E111" s="5" t="s">
        <v>72</v>
      </c>
      <c r="F111" s="5" t="s">
        <v>80</v>
      </c>
      <c r="G111" s="5" t="s">
        <v>91</v>
      </c>
      <c r="H111" s="5" t="s">
        <v>92</v>
      </c>
      <c r="I111" s="11">
        <f>(5839.44+950)*2</f>
        <v>13578.88</v>
      </c>
      <c r="J111" s="11">
        <f>5233*2</f>
        <v>10466</v>
      </c>
      <c r="K111" s="11"/>
      <c r="L111" s="5" t="s">
        <v>402</v>
      </c>
      <c r="M111" s="9">
        <v>42765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5" t="s">
        <v>399</v>
      </c>
      <c r="B112" s="10">
        <v>25549</v>
      </c>
      <c r="C112" s="5" t="s">
        <v>73</v>
      </c>
      <c r="D112" s="5" t="str">
        <f t="shared" si="7"/>
        <v>JEFE DE DEPARTAMENTO</v>
      </c>
      <c r="E112" s="5" t="s">
        <v>115</v>
      </c>
      <c r="F112" s="5" t="s">
        <v>136</v>
      </c>
      <c r="G112" s="5" t="s">
        <v>137</v>
      </c>
      <c r="H112" s="5" t="s">
        <v>138</v>
      </c>
      <c r="I112" s="11"/>
      <c r="J112" s="11"/>
      <c r="K112" s="11"/>
      <c r="L112" s="5" t="s">
        <v>402</v>
      </c>
      <c r="M112" s="9">
        <v>42765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5" t="s">
        <v>399</v>
      </c>
      <c r="B113" s="10">
        <v>10190</v>
      </c>
      <c r="C113" s="5" t="s">
        <v>74</v>
      </c>
      <c r="D113" s="5" t="str">
        <f t="shared" si="7"/>
        <v>JEFE DE UNIDAD</v>
      </c>
      <c r="E113" s="5" t="s">
        <v>78</v>
      </c>
      <c r="F113" s="5" t="s">
        <v>81</v>
      </c>
      <c r="G113" s="5" t="s">
        <v>60</v>
      </c>
      <c r="H113" s="5" t="s">
        <v>48</v>
      </c>
      <c r="I113" s="11">
        <f>(5282.51+54.5+950)*2</f>
        <v>12574.02</v>
      </c>
      <c r="J113" s="11">
        <f>2967.46*2</f>
        <v>5934.92</v>
      </c>
      <c r="K113" s="11"/>
      <c r="L113" s="5" t="s">
        <v>402</v>
      </c>
      <c r="M113" s="9">
        <v>42765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5" t="s">
        <v>401</v>
      </c>
      <c r="B114" s="10">
        <v>34390</v>
      </c>
      <c r="C114" s="5" t="s">
        <v>40</v>
      </c>
      <c r="D114" s="5" t="str">
        <f t="shared" si="7"/>
        <v>OFICIAL ADMINISTRATIVO</v>
      </c>
      <c r="E114" s="5" t="s">
        <v>35</v>
      </c>
      <c r="F114" s="5" t="s">
        <v>61</v>
      </c>
      <c r="G114" s="5" t="s">
        <v>62</v>
      </c>
      <c r="H114" s="5" t="s">
        <v>63</v>
      </c>
      <c r="I114" s="11">
        <f>(2348.42+200)*2</f>
        <v>5096.84</v>
      </c>
      <c r="J114" s="11">
        <f>2138.46*2</f>
        <v>4276.92</v>
      </c>
      <c r="K114" s="11">
        <v>250</v>
      </c>
      <c r="L114" s="5" t="s">
        <v>402</v>
      </c>
      <c r="M114" s="9">
        <v>42765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v>1150</v>
      </c>
      <c r="AD114" s="5" t="s">
        <v>326</v>
      </c>
      <c r="AE114" s="9">
        <v>42740</v>
      </c>
      <c r="AF114" s="5"/>
      <c r="AG114" s="5"/>
      <c r="AH114" s="5"/>
    </row>
    <row r="115" spans="1:34" x14ac:dyDescent="0.25">
      <c r="A115" s="5" t="s">
        <v>399</v>
      </c>
      <c r="B115" s="10">
        <v>27233</v>
      </c>
      <c r="C115" s="5" t="s">
        <v>164</v>
      </c>
      <c r="D115" s="5" t="str">
        <f t="shared" si="7"/>
        <v>PRESIDENTA DE LA JUNTA ESPECIAL</v>
      </c>
      <c r="E115" s="5" t="s">
        <v>195</v>
      </c>
      <c r="F115" s="5" t="s">
        <v>186</v>
      </c>
      <c r="G115" s="5" t="s">
        <v>63</v>
      </c>
      <c r="H115" s="5" t="s">
        <v>224</v>
      </c>
      <c r="I115" s="11">
        <f>(8621.37+23+950)*2</f>
        <v>19188.740000000002</v>
      </c>
      <c r="J115" s="11">
        <f>4887.5*2</f>
        <v>9775</v>
      </c>
      <c r="K115" s="11"/>
      <c r="L115" s="5" t="s">
        <v>402</v>
      </c>
      <c r="M115" s="9">
        <v>42765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5" t="s">
        <v>399</v>
      </c>
      <c r="B116" s="10">
        <v>34380</v>
      </c>
      <c r="C116" s="5" t="s">
        <v>107</v>
      </c>
      <c r="D116" s="5" t="str">
        <f t="shared" si="7"/>
        <v>PRESIDENTE DE LA JLCA</v>
      </c>
      <c r="E116" s="5" t="s">
        <v>115</v>
      </c>
      <c r="F116" s="5" t="s">
        <v>116</v>
      </c>
      <c r="G116" s="5" t="s">
        <v>117</v>
      </c>
      <c r="H116" s="5" t="s">
        <v>118</v>
      </c>
      <c r="I116" s="11">
        <f>(14230.85+950)*2</f>
        <v>30361.7</v>
      </c>
      <c r="J116" s="11">
        <f>10506.68*2</f>
        <v>21013.360000000001</v>
      </c>
      <c r="K116" s="11"/>
      <c r="L116" s="5" t="s">
        <v>402</v>
      </c>
      <c r="M116" s="9">
        <v>42765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5" t="s">
        <v>401</v>
      </c>
      <c r="B117" s="10">
        <v>10520</v>
      </c>
      <c r="C117" s="5" t="s">
        <v>291</v>
      </c>
      <c r="D117" s="5" t="str">
        <f t="shared" si="7"/>
        <v>PROMOTOR A</v>
      </c>
      <c r="E117" s="5" t="s">
        <v>235</v>
      </c>
      <c r="F117" s="5" t="s">
        <v>293</v>
      </c>
      <c r="G117" s="5" t="s">
        <v>63</v>
      </c>
      <c r="H117" s="5" t="s">
        <v>302</v>
      </c>
      <c r="I117" s="11">
        <f>(4224.67+68+200)*2</f>
        <v>8985.34</v>
      </c>
      <c r="J117" s="11">
        <f>2108.94*2</f>
        <v>4217.88</v>
      </c>
      <c r="K117" s="11">
        <v>250</v>
      </c>
      <c r="L117" s="5" t="s">
        <v>402</v>
      </c>
      <c r="M117" s="9">
        <v>42765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>
        <v>1150</v>
      </c>
      <c r="AD117" s="5" t="s">
        <v>326</v>
      </c>
      <c r="AE117" s="9">
        <v>42740</v>
      </c>
      <c r="AF117" s="5"/>
      <c r="AG117" s="5"/>
      <c r="AH117" s="5"/>
    </row>
    <row r="118" spans="1:34" x14ac:dyDescent="0.25">
      <c r="A118" s="5" t="s">
        <v>401</v>
      </c>
      <c r="B118" s="10" t="s">
        <v>410</v>
      </c>
      <c r="C118" s="5" t="s">
        <v>157</v>
      </c>
      <c r="D118" s="5" t="str">
        <f t="shared" si="7"/>
        <v>REPRESENTANTE DE OBRERO</v>
      </c>
      <c r="E118" s="5" t="s">
        <v>115</v>
      </c>
      <c r="F118" s="5" t="s">
        <v>167</v>
      </c>
      <c r="G118" s="5" t="s">
        <v>199</v>
      </c>
      <c r="H118" s="5" t="s">
        <v>87</v>
      </c>
      <c r="I118" s="11">
        <f>(4224.67+68+200+422.47)*2</f>
        <v>9830.2800000000007</v>
      </c>
      <c r="J118" s="11">
        <f>2382.79*2</f>
        <v>4765.58</v>
      </c>
      <c r="K118" s="11">
        <v>250</v>
      </c>
      <c r="L118" s="5" t="s">
        <v>402</v>
      </c>
      <c r="M118" s="9">
        <v>42765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>
        <v>1150</v>
      </c>
      <c r="AD118" s="5" t="s">
        <v>326</v>
      </c>
      <c r="AE118" s="9">
        <v>42740</v>
      </c>
      <c r="AF118" s="5"/>
      <c r="AG118" s="5"/>
      <c r="AH118" s="5"/>
    </row>
    <row r="119" spans="1:34" x14ac:dyDescent="0.25">
      <c r="A119" s="5" t="s">
        <v>401</v>
      </c>
      <c r="B119" s="10">
        <v>28653</v>
      </c>
      <c r="C119" s="5" t="s">
        <v>157</v>
      </c>
      <c r="D119" s="5" t="str">
        <f t="shared" si="7"/>
        <v>REPRESENTANTE DE OBRERO</v>
      </c>
      <c r="E119" s="5" t="s">
        <v>195</v>
      </c>
      <c r="F119" s="5" t="s">
        <v>259</v>
      </c>
      <c r="G119" s="5" t="s">
        <v>260</v>
      </c>
      <c r="H119" s="5" t="s">
        <v>65</v>
      </c>
      <c r="I119" s="11">
        <f>(4224.67+23+200)*2</f>
        <v>8895.34</v>
      </c>
      <c r="J119" s="11">
        <f>(3315.89*2)</f>
        <v>6631.78</v>
      </c>
      <c r="K119" s="11">
        <v>250</v>
      </c>
      <c r="L119" s="5" t="s">
        <v>402</v>
      </c>
      <c r="M119" s="9">
        <v>42765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>
        <v>1150</v>
      </c>
      <c r="AD119" s="5" t="s">
        <v>326</v>
      </c>
      <c r="AE119" s="9">
        <v>42740</v>
      </c>
      <c r="AF119" s="5"/>
      <c r="AG119" s="5"/>
      <c r="AH119" s="5"/>
    </row>
    <row r="120" spans="1:34" x14ac:dyDescent="0.25">
      <c r="A120" s="5" t="s">
        <v>399</v>
      </c>
      <c r="B120" s="10" t="s">
        <v>403</v>
      </c>
      <c r="C120" s="5" t="s">
        <v>110</v>
      </c>
      <c r="D120" s="5" t="str">
        <f t="shared" si="7"/>
        <v>REPRESENTANTE PATRONAL</v>
      </c>
      <c r="E120" s="5" t="s">
        <v>115</v>
      </c>
      <c r="F120" s="5" t="s">
        <v>141</v>
      </c>
      <c r="G120" s="5" t="s">
        <v>142</v>
      </c>
      <c r="H120" s="5" t="s">
        <v>143</v>
      </c>
      <c r="I120" s="11">
        <f>(4224.67+68+200)*2</f>
        <v>8985.34</v>
      </c>
      <c r="J120" s="11">
        <f>1555.2*2</f>
        <v>3110.4</v>
      </c>
      <c r="K120" s="11">
        <v>250</v>
      </c>
      <c r="L120" s="5" t="s">
        <v>402</v>
      </c>
      <c r="M120" s="9">
        <v>42765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v>1150</v>
      </c>
      <c r="AD120" s="5" t="s">
        <v>326</v>
      </c>
      <c r="AE120" s="9">
        <v>42740</v>
      </c>
      <c r="AF120" s="5"/>
      <c r="AG120" s="5"/>
      <c r="AH120" s="5"/>
    </row>
    <row r="121" spans="1:34" x14ac:dyDescent="0.25">
      <c r="A121" s="5" t="s">
        <v>399</v>
      </c>
      <c r="B121" s="10">
        <v>33607</v>
      </c>
      <c r="C121" s="5" t="s">
        <v>110</v>
      </c>
      <c r="D121" s="5" t="str">
        <f t="shared" si="7"/>
        <v>REPRESENTANTE PATRONAL</v>
      </c>
      <c r="E121" s="5" t="s">
        <v>195</v>
      </c>
      <c r="F121" s="5" t="s">
        <v>189</v>
      </c>
      <c r="G121" s="5" t="s">
        <v>227</v>
      </c>
      <c r="H121" s="5" t="s">
        <v>225</v>
      </c>
      <c r="I121" s="11">
        <f>(4224.67+200)*2</f>
        <v>8849.34</v>
      </c>
      <c r="J121" s="11">
        <f>3384.9*2</f>
        <v>6769.8</v>
      </c>
      <c r="K121" s="11">
        <v>250</v>
      </c>
      <c r="L121" s="5" t="s">
        <v>402</v>
      </c>
      <c r="M121" s="9">
        <v>42765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v>1150</v>
      </c>
      <c r="AD121" s="5" t="s">
        <v>326</v>
      </c>
      <c r="AE121" s="9">
        <v>42740</v>
      </c>
      <c r="AF121" s="5"/>
      <c r="AG121" s="5"/>
      <c r="AH121" s="5"/>
    </row>
    <row r="122" spans="1:34" x14ac:dyDescent="0.25">
      <c r="A122" s="5" t="s">
        <v>401</v>
      </c>
      <c r="B122" s="10">
        <v>34478</v>
      </c>
      <c r="C122" s="5" t="s">
        <v>162</v>
      </c>
      <c r="D122" s="5" t="str">
        <f t="shared" si="7"/>
        <v>REPRESENTANTE SINDICAL</v>
      </c>
      <c r="E122" s="5" t="s">
        <v>115</v>
      </c>
      <c r="F122" s="5" t="s">
        <v>183</v>
      </c>
      <c r="G122" s="5" t="s">
        <v>89</v>
      </c>
      <c r="H122" s="5" t="s">
        <v>221</v>
      </c>
      <c r="I122" s="11">
        <f>(4224.67+200)*2</f>
        <v>8849.34</v>
      </c>
      <c r="J122" s="11">
        <f>3305.08*2</f>
        <v>6610.16</v>
      </c>
      <c r="K122" s="11">
        <v>250</v>
      </c>
      <c r="L122" s="5" t="s">
        <v>402</v>
      </c>
      <c r="M122" s="9">
        <v>42765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>
        <v>1150</v>
      </c>
      <c r="AD122" s="5" t="s">
        <v>326</v>
      </c>
      <c r="AE122" s="9">
        <v>42740</v>
      </c>
      <c r="AF122" s="5"/>
      <c r="AG122" s="5"/>
      <c r="AH122" s="5"/>
    </row>
    <row r="123" spans="1:34" x14ac:dyDescent="0.25">
      <c r="A123" s="5" t="s">
        <v>399</v>
      </c>
      <c r="B123" s="10">
        <v>20539</v>
      </c>
      <c r="C123" s="5" t="s">
        <v>158</v>
      </c>
      <c r="D123" s="5" t="str">
        <f t="shared" si="7"/>
        <v>SECRETARIA D</v>
      </c>
      <c r="E123" s="5" t="s">
        <v>235</v>
      </c>
      <c r="F123" s="5" t="s">
        <v>299</v>
      </c>
      <c r="G123" s="5" t="s">
        <v>307</v>
      </c>
      <c r="H123" s="5" t="s">
        <v>129</v>
      </c>
      <c r="I123" s="11">
        <f>(3400.61+54.5+200)*2</f>
        <v>7310.22</v>
      </c>
      <c r="J123" s="11">
        <f>1615.73*2</f>
        <v>3231.46</v>
      </c>
      <c r="K123" s="11">
        <v>250</v>
      </c>
      <c r="L123" s="5" t="s">
        <v>402</v>
      </c>
      <c r="M123" s="9">
        <v>42765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>
        <v>1150</v>
      </c>
      <c r="AD123" s="5" t="s">
        <v>326</v>
      </c>
      <c r="AE123" s="9">
        <v>42740</v>
      </c>
      <c r="AF123" s="5"/>
      <c r="AG123" s="5"/>
      <c r="AH123" s="5"/>
    </row>
    <row r="124" spans="1:34" x14ac:dyDescent="0.25">
      <c r="A124" s="5" t="s">
        <v>399</v>
      </c>
      <c r="B124" s="10">
        <v>3108</v>
      </c>
      <c r="C124" s="5" t="s">
        <v>158</v>
      </c>
      <c r="D124" s="5" t="str">
        <f t="shared" si="7"/>
        <v>SECRETARIA D</v>
      </c>
      <c r="E124" s="5" t="s">
        <v>115</v>
      </c>
      <c r="F124" s="5" t="s">
        <v>174</v>
      </c>
      <c r="G124" s="5" t="s">
        <v>209</v>
      </c>
      <c r="H124" s="5" t="s">
        <v>210</v>
      </c>
      <c r="I124" s="11">
        <f>(3400.61+68+200)*2</f>
        <v>7337.22</v>
      </c>
      <c r="J124" s="11">
        <f>1450.06*2</f>
        <v>2900.12</v>
      </c>
      <c r="K124" s="11">
        <v>250</v>
      </c>
      <c r="L124" s="5" t="s">
        <v>402</v>
      </c>
      <c r="M124" s="9">
        <v>42765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v>1150</v>
      </c>
      <c r="AD124" s="5" t="s">
        <v>326</v>
      </c>
      <c r="AE124" s="9">
        <v>42740</v>
      </c>
      <c r="AF124" s="5"/>
      <c r="AG124" s="5"/>
      <c r="AH124" s="5"/>
    </row>
    <row r="125" spans="1:34" x14ac:dyDescent="0.25">
      <c r="A125" s="5" t="s">
        <v>401</v>
      </c>
      <c r="B125" s="10">
        <v>29694</v>
      </c>
      <c r="C125" s="5" t="s">
        <v>113</v>
      </c>
      <c r="D125" s="5" t="str">
        <f t="shared" si="7"/>
        <v>SECRETARIA E</v>
      </c>
      <c r="E125" s="5" t="s">
        <v>235</v>
      </c>
      <c r="F125" s="5" t="s">
        <v>297</v>
      </c>
      <c r="G125" s="5" t="s">
        <v>140</v>
      </c>
      <c r="H125" s="5" t="s">
        <v>306</v>
      </c>
      <c r="I125" s="11">
        <f>(2348.42+23+200)*2</f>
        <v>5142.84</v>
      </c>
      <c r="J125" s="11">
        <f>2080.07*2</f>
        <v>4160.1400000000003</v>
      </c>
      <c r="K125" s="11">
        <v>250</v>
      </c>
      <c r="L125" s="5" t="s">
        <v>402</v>
      </c>
      <c r="M125" s="9">
        <v>42765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v>1150</v>
      </c>
      <c r="AD125" s="5" t="s">
        <v>326</v>
      </c>
      <c r="AE125" s="9">
        <v>42740</v>
      </c>
      <c r="AF125" s="5"/>
      <c r="AG125" s="5"/>
      <c r="AH125" s="5"/>
    </row>
    <row r="126" spans="1:34" x14ac:dyDescent="0.25">
      <c r="A126" s="5" t="s">
        <v>401</v>
      </c>
      <c r="B126" s="10">
        <v>26705</v>
      </c>
      <c r="C126" s="5" t="s">
        <v>113</v>
      </c>
      <c r="D126" s="5" t="str">
        <f t="shared" si="7"/>
        <v>SECRETARIA E</v>
      </c>
      <c r="E126" s="5" t="s">
        <v>275</v>
      </c>
      <c r="F126" s="5" t="s">
        <v>331</v>
      </c>
      <c r="G126" s="5" t="s">
        <v>271</v>
      </c>
      <c r="H126" s="5" t="s">
        <v>93</v>
      </c>
      <c r="I126" s="11">
        <f>(2348.42+27.5+200)*2</f>
        <v>5151.84</v>
      </c>
      <c r="J126" s="11">
        <f>970.52*2</f>
        <v>1941.04</v>
      </c>
      <c r="K126" s="11">
        <v>250</v>
      </c>
      <c r="L126" s="5" t="s">
        <v>402</v>
      </c>
      <c r="M126" s="9">
        <v>42765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v>1150</v>
      </c>
      <c r="AD126" s="5" t="s">
        <v>326</v>
      </c>
      <c r="AE126" s="9">
        <v>42740</v>
      </c>
      <c r="AF126" s="5"/>
      <c r="AG126" s="5"/>
      <c r="AH126" s="5"/>
    </row>
    <row r="127" spans="1:34" x14ac:dyDescent="0.25">
      <c r="A127" s="5" t="s">
        <v>401</v>
      </c>
      <c r="B127" s="10">
        <v>22574</v>
      </c>
      <c r="C127" s="5" t="s">
        <v>113</v>
      </c>
      <c r="D127" s="5" t="str">
        <f t="shared" si="7"/>
        <v>SECRETARIA E</v>
      </c>
      <c r="E127" s="5" t="s">
        <v>115</v>
      </c>
      <c r="F127" s="5" t="s">
        <v>149</v>
      </c>
      <c r="G127" s="5" t="s">
        <v>151</v>
      </c>
      <c r="H127" s="5" t="s">
        <v>150</v>
      </c>
      <c r="I127" s="11">
        <f>(2348.42+41+200)*2</f>
        <v>5178.84</v>
      </c>
      <c r="J127" s="11">
        <f>1111.96*2</f>
        <v>2223.92</v>
      </c>
      <c r="K127" s="11">
        <v>250</v>
      </c>
      <c r="L127" s="5" t="s">
        <v>402</v>
      </c>
      <c r="M127" s="9">
        <v>42765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>
        <v>1150</v>
      </c>
      <c r="AD127" s="5" t="s">
        <v>326</v>
      </c>
      <c r="AE127" s="9">
        <v>42740</v>
      </c>
      <c r="AF127" s="5"/>
      <c r="AG127" s="5"/>
      <c r="AH127" s="5"/>
    </row>
    <row r="128" spans="1:34" x14ac:dyDescent="0.25">
      <c r="A128" s="5" t="s">
        <v>399</v>
      </c>
      <c r="B128" s="10">
        <v>24704</v>
      </c>
      <c r="C128" s="5" t="s">
        <v>160</v>
      </c>
      <c r="D128" s="5" t="str">
        <f t="shared" si="7"/>
        <v>SECRETARIO DE ACUERDOS</v>
      </c>
      <c r="E128" s="5" t="s">
        <v>115</v>
      </c>
      <c r="F128" s="5" t="s">
        <v>177</v>
      </c>
      <c r="G128" s="5" t="s">
        <v>200</v>
      </c>
      <c r="H128" s="5" t="s">
        <v>214</v>
      </c>
      <c r="I128" s="11">
        <f>(8621.37+27.5+950)*2</f>
        <v>19197.740000000002</v>
      </c>
      <c r="J128" s="11">
        <f>4980.98*2</f>
        <v>9961.9599999999991</v>
      </c>
      <c r="K128" s="11"/>
      <c r="L128" s="5" t="s">
        <v>402</v>
      </c>
      <c r="M128" s="9">
        <v>42765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x14ac:dyDescent="0.25">
      <c r="A129" s="5" t="s">
        <v>399</v>
      </c>
      <c r="B129" s="10">
        <v>24145</v>
      </c>
      <c r="C129" s="5" t="s">
        <v>160</v>
      </c>
      <c r="D129" s="5" t="str">
        <f t="shared" si="7"/>
        <v>SECRETARIO DE ACUERDOS</v>
      </c>
      <c r="E129" s="5" t="s">
        <v>261</v>
      </c>
      <c r="F129" s="5" t="s">
        <v>265</v>
      </c>
      <c r="G129" s="5" t="s">
        <v>105</v>
      </c>
      <c r="H129" s="5" t="s">
        <v>266</v>
      </c>
      <c r="I129" s="11">
        <f>(5839.44+41+950)*2</f>
        <v>13660.88</v>
      </c>
      <c r="J129" s="11">
        <f>3412.62*2</f>
        <v>6825.24</v>
      </c>
      <c r="K129" s="11"/>
      <c r="L129" s="5" t="s">
        <v>402</v>
      </c>
      <c r="M129" s="9">
        <v>42765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x14ac:dyDescent="0.25">
      <c r="A130" s="5" t="s">
        <v>399</v>
      </c>
      <c r="B130" s="10">
        <v>33788</v>
      </c>
      <c r="C130" s="5" t="s">
        <v>400</v>
      </c>
      <c r="D130" s="5" t="str">
        <f t="shared" ref="D130:D147" si="8">+C130</f>
        <v>SECRETARIO DE ESTADO</v>
      </c>
      <c r="E130" s="5" t="s">
        <v>290</v>
      </c>
      <c r="F130" s="5" t="s">
        <v>309</v>
      </c>
      <c r="G130" s="5" t="s">
        <v>310</v>
      </c>
      <c r="H130" s="5" t="s">
        <v>48</v>
      </c>
      <c r="I130" s="11">
        <f>(39652.36+950)*2</f>
        <v>81204.72</v>
      </c>
      <c r="J130" s="11">
        <f>25311.73*2</f>
        <v>50623.46</v>
      </c>
      <c r="K130" s="11"/>
      <c r="L130" s="5" t="s">
        <v>402</v>
      </c>
      <c r="M130" s="9">
        <v>42765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x14ac:dyDescent="0.25">
      <c r="A131" s="5" t="s">
        <v>399</v>
      </c>
      <c r="B131" s="10">
        <v>34562</v>
      </c>
      <c r="C131" s="5" t="s">
        <v>419</v>
      </c>
      <c r="D131" s="5" t="str">
        <f t="shared" si="8"/>
        <v>Subdirector</v>
      </c>
      <c r="E131" s="5" t="s">
        <v>235</v>
      </c>
      <c r="F131" s="5" t="s">
        <v>236</v>
      </c>
      <c r="G131" s="5" t="s">
        <v>237</v>
      </c>
      <c r="H131" s="5" t="s">
        <v>93</v>
      </c>
      <c r="I131" s="11">
        <f>(8621.37+950)*2</f>
        <v>19142.740000000002</v>
      </c>
      <c r="J131" s="11">
        <f>(7021.98*2)</f>
        <v>14043.96</v>
      </c>
      <c r="K131" s="11"/>
      <c r="L131" s="5" t="s">
        <v>402</v>
      </c>
      <c r="M131" s="9">
        <v>42765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x14ac:dyDescent="0.25">
      <c r="A132" s="5" t="s">
        <v>399</v>
      </c>
      <c r="B132" s="10">
        <v>18009</v>
      </c>
      <c r="C132" s="5" t="s">
        <v>111</v>
      </c>
      <c r="D132" s="5" t="str">
        <f t="shared" si="8"/>
        <v>SUBDIRECTOR</v>
      </c>
      <c r="E132" s="5" t="s">
        <v>115</v>
      </c>
      <c r="F132" s="5" t="s">
        <v>144</v>
      </c>
      <c r="G132" s="5" t="s">
        <v>145</v>
      </c>
      <c r="H132" s="5" t="s">
        <v>146</v>
      </c>
      <c r="I132" s="11">
        <f>(8621.37+68+950)*2</f>
        <v>19278.740000000002</v>
      </c>
      <c r="J132" s="11">
        <f>5617.32*2</f>
        <v>11234.64</v>
      </c>
      <c r="K132" s="11"/>
      <c r="L132" s="5" t="s">
        <v>402</v>
      </c>
      <c r="M132" s="9">
        <v>42765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x14ac:dyDescent="0.25">
      <c r="A133" s="5" t="s">
        <v>34</v>
      </c>
      <c r="B133" s="10">
        <v>33905</v>
      </c>
      <c r="C133" s="5" t="s">
        <v>67</v>
      </c>
      <c r="D133" s="5" t="str">
        <f t="shared" si="8"/>
        <v>SUBDIRECTOR C</v>
      </c>
      <c r="E133" s="5" t="s">
        <v>68</v>
      </c>
      <c r="F133" s="5" t="s">
        <v>64</v>
      </c>
      <c r="G133" s="5" t="s">
        <v>65</v>
      </c>
      <c r="H133" s="5" t="s">
        <v>66</v>
      </c>
      <c r="I133" s="11">
        <f>(9030.85)*2</f>
        <v>18061.7</v>
      </c>
      <c r="J133" s="11">
        <f>6692.36*2</f>
        <v>13384.72</v>
      </c>
      <c r="K133" s="11"/>
      <c r="L133" s="5" t="s">
        <v>402</v>
      </c>
      <c r="M133" s="9">
        <v>42765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x14ac:dyDescent="0.25">
      <c r="A134" s="5" t="s">
        <v>34</v>
      </c>
      <c r="B134" s="10">
        <v>5.2</v>
      </c>
      <c r="C134" s="5" t="s">
        <v>397</v>
      </c>
      <c r="D134" s="5" t="str">
        <f t="shared" si="8"/>
        <v>SUBDIRECTOR D</v>
      </c>
      <c r="E134" s="5" t="s">
        <v>195</v>
      </c>
      <c r="F134" s="5" t="s">
        <v>193</v>
      </c>
      <c r="G134" s="5" t="s">
        <v>231</v>
      </c>
      <c r="H134" s="5" t="s">
        <v>215</v>
      </c>
      <c r="I134" s="11">
        <f>12333.56*2</f>
        <v>24667.119999999999</v>
      </c>
      <c r="J134" s="11">
        <f>9489.01*2</f>
        <v>18978.02</v>
      </c>
      <c r="K134" s="11"/>
      <c r="L134" s="5" t="s">
        <v>402</v>
      </c>
      <c r="M134" s="9">
        <v>42765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x14ac:dyDescent="0.25">
      <c r="A135" s="5" t="s">
        <v>399</v>
      </c>
      <c r="B135" s="10">
        <v>9309</v>
      </c>
      <c r="C135" s="5" t="s">
        <v>234</v>
      </c>
      <c r="D135" s="5" t="str">
        <f t="shared" si="8"/>
        <v>SUBPROCURADOR</v>
      </c>
      <c r="E135" s="5" t="s">
        <v>275</v>
      </c>
      <c r="F135" s="5" t="s">
        <v>276</v>
      </c>
      <c r="G135" s="5" t="s">
        <v>277</v>
      </c>
      <c r="H135" s="5" t="s">
        <v>48</v>
      </c>
      <c r="I135" s="11">
        <f>(5839.44+68+950)*2</f>
        <v>13714.88</v>
      </c>
      <c r="J135" s="11">
        <f>3455.12*2</f>
        <v>6910.24</v>
      </c>
      <c r="K135" s="11"/>
      <c r="L135" s="5" t="s">
        <v>402</v>
      </c>
      <c r="M135" s="9">
        <v>42765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x14ac:dyDescent="0.25">
      <c r="A136" s="5" t="s">
        <v>399</v>
      </c>
      <c r="B136" s="10">
        <v>34581</v>
      </c>
      <c r="C136" s="5" t="s">
        <v>163</v>
      </c>
      <c r="D136" s="5" t="str">
        <f t="shared" si="8"/>
        <v>SUBSECRETARIO</v>
      </c>
      <c r="E136" s="5" t="s">
        <v>425</v>
      </c>
      <c r="F136" s="5" t="s">
        <v>313</v>
      </c>
      <c r="G136" s="5" t="s">
        <v>314</v>
      </c>
      <c r="H136" s="5" t="s">
        <v>62</v>
      </c>
      <c r="I136" s="11">
        <f>(25277.75+950)*2</f>
        <v>52455.5</v>
      </c>
      <c r="J136" s="11">
        <f>16556.75*2</f>
        <v>33113.5</v>
      </c>
      <c r="K136" s="11"/>
      <c r="L136" s="5" t="s">
        <v>402</v>
      </c>
      <c r="M136" s="9">
        <v>42765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x14ac:dyDescent="0.25">
      <c r="A137" s="5" t="s">
        <v>399</v>
      </c>
      <c r="B137" s="10">
        <v>34540</v>
      </c>
      <c r="C137" s="5" t="s">
        <v>163</v>
      </c>
      <c r="D137" s="5" t="str">
        <f t="shared" si="8"/>
        <v>SUBSECRETARIO</v>
      </c>
      <c r="E137" s="5" t="s">
        <v>195</v>
      </c>
      <c r="F137" s="5" t="s">
        <v>185</v>
      </c>
      <c r="G137" s="5" t="s">
        <v>223</v>
      </c>
      <c r="H137" s="5" t="s">
        <v>207</v>
      </c>
      <c r="I137" s="11">
        <f>(25277.75+950)*2</f>
        <v>52455.5</v>
      </c>
      <c r="J137" s="11">
        <f>16194.02*2</f>
        <v>32388.04</v>
      </c>
      <c r="K137" s="11"/>
      <c r="L137" s="5" t="s">
        <v>402</v>
      </c>
      <c r="M137" s="9">
        <v>42765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x14ac:dyDescent="0.25">
      <c r="A138" s="5" t="s">
        <v>399</v>
      </c>
      <c r="B138" s="10">
        <v>34031</v>
      </c>
      <c r="C138" s="5" t="s">
        <v>165</v>
      </c>
      <c r="D138" s="5" t="str">
        <f t="shared" si="8"/>
        <v>SUBSECRETARIO DE ACUERDOS</v>
      </c>
      <c r="E138" s="5" t="s">
        <v>195</v>
      </c>
      <c r="F138" s="5" t="s">
        <v>187</v>
      </c>
      <c r="G138" s="5" t="s">
        <v>66</v>
      </c>
      <c r="H138" s="5" t="s">
        <v>225</v>
      </c>
      <c r="I138" s="11">
        <f>(5839.44+950)*2</f>
        <v>13578.88</v>
      </c>
      <c r="J138" s="11">
        <f>5233*2</f>
        <v>10466</v>
      </c>
      <c r="K138" s="11"/>
      <c r="L138" s="5" t="s">
        <v>402</v>
      </c>
      <c r="M138" s="9">
        <v>42765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x14ac:dyDescent="0.25">
      <c r="A139" s="5" t="s">
        <v>34</v>
      </c>
      <c r="B139" s="10">
        <v>34193</v>
      </c>
      <c r="C139" s="5" t="s">
        <v>38</v>
      </c>
      <c r="D139" s="5" t="str">
        <f t="shared" si="8"/>
        <v>VERIFICADOR/NOTIFICADOR</v>
      </c>
      <c r="E139" s="5" t="s">
        <v>72</v>
      </c>
      <c r="F139" s="5" t="s">
        <v>102</v>
      </c>
      <c r="G139" s="5" t="s">
        <v>103</v>
      </c>
      <c r="H139" s="5" t="s">
        <v>104</v>
      </c>
      <c r="I139" s="11">
        <f>2399.6*2</f>
        <v>4799.2</v>
      </c>
      <c r="J139" s="11">
        <f>2141.69*2</f>
        <v>4283.38</v>
      </c>
      <c r="K139" s="11"/>
      <c r="L139" s="5" t="s">
        <v>402</v>
      </c>
      <c r="M139" s="9">
        <v>42765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>
        <v>1150</v>
      </c>
      <c r="AD139" s="5" t="s">
        <v>326</v>
      </c>
      <c r="AE139" s="9">
        <v>42740</v>
      </c>
      <c r="AF139" s="5"/>
      <c r="AG139" s="5"/>
      <c r="AH139" s="5"/>
    </row>
    <row r="140" spans="1:34" x14ac:dyDescent="0.25">
      <c r="A140" s="5" t="s">
        <v>34</v>
      </c>
      <c r="B140" s="10">
        <v>33696</v>
      </c>
      <c r="C140" s="5" t="s">
        <v>38</v>
      </c>
      <c r="D140" s="5" t="str">
        <f t="shared" si="8"/>
        <v>VERIFICADOR/NOTIFICADOR</v>
      </c>
      <c r="E140" s="5" t="s">
        <v>275</v>
      </c>
      <c r="F140" s="5" t="s">
        <v>278</v>
      </c>
      <c r="G140" s="5" t="s">
        <v>279</v>
      </c>
      <c r="H140" s="5" t="s">
        <v>280</v>
      </c>
      <c r="I140" s="11">
        <f>2399.6*2</f>
        <v>4799.2</v>
      </c>
      <c r="J140" s="11">
        <f>1239.87*2</f>
        <v>2479.7399999999998</v>
      </c>
      <c r="K140" s="11"/>
      <c r="L140" s="5" t="s">
        <v>402</v>
      </c>
      <c r="M140" s="9">
        <v>42765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v>1150</v>
      </c>
      <c r="AD140" s="5" t="s">
        <v>326</v>
      </c>
      <c r="AE140" s="9">
        <v>42740</v>
      </c>
      <c r="AF140" s="5"/>
      <c r="AG140" s="5"/>
      <c r="AH140" s="5"/>
    </row>
    <row r="141" spans="1:34" x14ac:dyDescent="0.25">
      <c r="A141" s="5" t="s">
        <v>34</v>
      </c>
      <c r="B141" s="10">
        <v>34307</v>
      </c>
      <c r="C141" s="5" t="s">
        <v>38</v>
      </c>
      <c r="D141" s="5" t="str">
        <f t="shared" si="8"/>
        <v>VERIFICADOR/NOTIFICADOR</v>
      </c>
      <c r="E141" s="5" t="s">
        <v>72</v>
      </c>
      <c r="F141" s="5" t="s">
        <v>98</v>
      </c>
      <c r="G141" s="5" t="s">
        <v>99</v>
      </c>
      <c r="H141" s="5"/>
      <c r="I141" s="11">
        <f>2399.6*2</f>
        <v>4799.2</v>
      </c>
      <c r="J141" s="11">
        <f>1981.72*2</f>
        <v>3963.44</v>
      </c>
      <c r="K141" s="11"/>
      <c r="L141" s="5" t="s">
        <v>402</v>
      </c>
      <c r="M141" s="9">
        <v>42765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>
        <v>1150</v>
      </c>
      <c r="AD141" s="5" t="s">
        <v>326</v>
      </c>
      <c r="AE141" s="9">
        <v>42740</v>
      </c>
      <c r="AF141" s="5"/>
      <c r="AG141" s="5"/>
      <c r="AH141" s="5"/>
    </row>
    <row r="142" spans="1:34" x14ac:dyDescent="0.25">
      <c r="A142" s="5" t="s">
        <v>34</v>
      </c>
      <c r="B142" s="10">
        <v>33693</v>
      </c>
      <c r="C142" s="5" t="s">
        <v>38</v>
      </c>
      <c r="D142" s="5" t="str">
        <f t="shared" si="8"/>
        <v>VERIFICADOR/NOTIFICADOR</v>
      </c>
      <c r="E142" s="5" t="s">
        <v>115</v>
      </c>
      <c r="F142" s="5" t="s">
        <v>168</v>
      </c>
      <c r="G142" s="5" t="s">
        <v>200</v>
      </c>
      <c r="H142" s="5" t="s">
        <v>201</v>
      </c>
      <c r="I142" s="11"/>
      <c r="J142" s="11"/>
      <c r="K142" s="11"/>
      <c r="L142" s="5" t="s">
        <v>402</v>
      </c>
      <c r="M142" s="9">
        <v>42765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v>1150</v>
      </c>
      <c r="AD142" s="5" t="s">
        <v>326</v>
      </c>
      <c r="AE142" s="9">
        <v>42740</v>
      </c>
      <c r="AF142" s="5"/>
      <c r="AG142" s="5"/>
      <c r="AH142" s="5"/>
    </row>
    <row r="143" spans="1:34" x14ac:dyDescent="0.25">
      <c r="A143" s="5" t="s">
        <v>34</v>
      </c>
      <c r="B143" s="10">
        <v>35031</v>
      </c>
      <c r="C143" s="5" t="s">
        <v>38</v>
      </c>
      <c r="D143" s="5" t="str">
        <f t="shared" si="8"/>
        <v>VERIFICADOR/NOTIFICADOR</v>
      </c>
      <c r="E143" s="5" t="s">
        <v>115</v>
      </c>
      <c r="F143" s="5" t="s">
        <v>170</v>
      </c>
      <c r="G143" s="5" t="s">
        <v>202</v>
      </c>
      <c r="H143" s="5" t="s">
        <v>203</v>
      </c>
      <c r="I143" s="11">
        <f>(2399.6*2)</f>
        <v>4799.2</v>
      </c>
      <c r="J143" s="11">
        <f>2135.19*2</f>
        <v>4270.38</v>
      </c>
      <c r="K143" s="11"/>
      <c r="L143" s="5" t="s">
        <v>402</v>
      </c>
      <c r="M143" s="9">
        <v>42765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v>1150</v>
      </c>
      <c r="AD143" s="5" t="s">
        <v>326</v>
      </c>
      <c r="AE143" s="9">
        <v>42740</v>
      </c>
      <c r="AF143" s="5"/>
      <c r="AG143" s="5"/>
      <c r="AH143" s="5"/>
    </row>
    <row r="144" spans="1:34" x14ac:dyDescent="0.25">
      <c r="A144" s="5" t="s">
        <v>34</v>
      </c>
      <c r="B144" s="10">
        <v>33687</v>
      </c>
      <c r="C144" s="5" t="s">
        <v>38</v>
      </c>
      <c r="D144" s="5" t="str">
        <f t="shared" si="8"/>
        <v>VERIFICADOR/NOTIFICADOR</v>
      </c>
      <c r="E144" s="5" t="s">
        <v>115</v>
      </c>
      <c r="F144" s="5" t="s">
        <v>327</v>
      </c>
      <c r="G144" s="5" t="s">
        <v>106</v>
      </c>
      <c r="H144" s="5" t="s">
        <v>94</v>
      </c>
      <c r="I144" s="11">
        <f>2399.6*2</f>
        <v>4799.2</v>
      </c>
      <c r="J144" s="11">
        <f>2141.69*2</f>
        <v>4283.38</v>
      </c>
      <c r="K144" s="11"/>
      <c r="L144" s="5" t="s">
        <v>402</v>
      </c>
      <c r="M144" s="9">
        <v>42765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>
        <v>1150</v>
      </c>
      <c r="AD144" s="5" t="s">
        <v>326</v>
      </c>
      <c r="AE144" s="9">
        <v>42740</v>
      </c>
      <c r="AF144" s="5"/>
      <c r="AG144" s="5"/>
      <c r="AH144" s="5"/>
    </row>
    <row r="145" spans="1:34" x14ac:dyDescent="0.25">
      <c r="A145" s="5" t="s">
        <v>34</v>
      </c>
      <c r="B145" s="10">
        <v>35030</v>
      </c>
      <c r="C145" s="5" t="s">
        <v>38</v>
      </c>
      <c r="D145" s="5" t="str">
        <f t="shared" si="8"/>
        <v>VERIFICADOR/NOTIFICADOR</v>
      </c>
      <c r="E145" s="5" t="s">
        <v>115</v>
      </c>
      <c r="F145" s="5" t="s">
        <v>171</v>
      </c>
      <c r="G145" s="5" t="s">
        <v>204</v>
      </c>
      <c r="H145" s="5" t="s">
        <v>205</v>
      </c>
      <c r="I145" s="11">
        <f>(2399.6*2)</f>
        <v>4799.2</v>
      </c>
      <c r="J145" s="11">
        <f>2141.69*2</f>
        <v>4283.38</v>
      </c>
      <c r="K145" s="11"/>
      <c r="L145" s="5" t="s">
        <v>402</v>
      </c>
      <c r="M145" s="9">
        <v>42765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>
        <v>1150</v>
      </c>
      <c r="AD145" s="5" t="s">
        <v>326</v>
      </c>
      <c r="AE145" s="9">
        <v>42740</v>
      </c>
      <c r="AF145" s="5"/>
      <c r="AG145" s="5"/>
      <c r="AH145" s="5"/>
    </row>
    <row r="146" spans="1:34" x14ac:dyDescent="0.25">
      <c r="A146" s="5" t="s">
        <v>34</v>
      </c>
      <c r="B146" s="10">
        <v>34195</v>
      </c>
      <c r="C146" s="5" t="s">
        <v>38</v>
      </c>
      <c r="D146" s="5" t="str">
        <f t="shared" si="8"/>
        <v>VERIFICADOR/NOTIFICADOR</v>
      </c>
      <c r="E146" s="5" t="s">
        <v>35</v>
      </c>
      <c r="F146" s="5" t="s">
        <v>55</v>
      </c>
      <c r="G146" s="5" t="s">
        <v>56</v>
      </c>
      <c r="H146" s="5" t="s">
        <v>57</v>
      </c>
      <c r="I146" s="11">
        <f>(2399.6*2)</f>
        <v>4799.2</v>
      </c>
      <c r="J146" s="11">
        <f>2141.69*2</f>
        <v>4283.38</v>
      </c>
      <c r="K146" s="11"/>
      <c r="L146" s="5" t="s">
        <v>402</v>
      </c>
      <c r="M146" s="9">
        <v>42765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v>1150</v>
      </c>
      <c r="AD146" s="5" t="s">
        <v>326</v>
      </c>
      <c r="AE146" s="9">
        <v>42740</v>
      </c>
      <c r="AF146" s="5"/>
      <c r="AG146" s="5"/>
      <c r="AH146" s="5"/>
    </row>
    <row r="147" spans="1:34" x14ac:dyDescent="0.25">
      <c r="A147" s="5" t="s">
        <v>34</v>
      </c>
      <c r="B147" s="10">
        <v>34586</v>
      </c>
      <c r="C147" s="5" t="s">
        <v>38</v>
      </c>
      <c r="D147" s="5" t="str">
        <f t="shared" si="8"/>
        <v>VERIFICADOR/NOTIFICADOR</v>
      </c>
      <c r="E147" s="5" t="s">
        <v>115</v>
      </c>
      <c r="F147" s="5" t="s">
        <v>116</v>
      </c>
      <c r="G147" s="5" t="s">
        <v>93</v>
      </c>
      <c r="H147" s="5" t="s">
        <v>196</v>
      </c>
      <c r="I147" s="11">
        <f>2399.6*2</f>
        <v>4799.2</v>
      </c>
      <c r="J147" s="11">
        <f>2141.69*2</f>
        <v>4283.38</v>
      </c>
      <c r="K147" s="11"/>
      <c r="L147" s="5" t="s">
        <v>402</v>
      </c>
      <c r="M147" s="9">
        <v>42765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>
        <v>1150</v>
      </c>
      <c r="AD147" s="5" t="s">
        <v>326</v>
      </c>
      <c r="AE147" s="9">
        <v>42740</v>
      </c>
      <c r="AF147" s="5"/>
      <c r="AG147" s="5"/>
      <c r="AH147" s="5"/>
    </row>
    <row r="148" spans="1:34" x14ac:dyDescent="0.25">
      <c r="A148" s="6" t="s">
        <v>20</v>
      </c>
      <c r="C148" s="7"/>
      <c r="D148" s="7"/>
    </row>
    <row r="149" spans="1:34" x14ac:dyDescent="0.25">
      <c r="A149" s="6" t="s">
        <v>232</v>
      </c>
      <c r="C149" s="7"/>
      <c r="D149" s="7"/>
    </row>
    <row r="150" spans="1:34" x14ac:dyDescent="0.25">
      <c r="A150" s="6" t="s">
        <v>21</v>
      </c>
      <c r="C150" s="7"/>
      <c r="D150" s="7"/>
    </row>
    <row r="151" spans="1:34" x14ac:dyDescent="0.25">
      <c r="A151" s="12" t="s">
        <v>233</v>
      </c>
      <c r="B151" s="12"/>
      <c r="C151" s="12"/>
      <c r="D151" s="12"/>
    </row>
  </sheetData>
  <autoFilter ref="A1:AH147">
    <sortState ref="A2:AH146">
      <sortCondition ref="C2:C146"/>
    </sortState>
  </autoFilter>
  <mergeCells count="1">
    <mergeCell ref="A151:D1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Estrella</dc:creator>
  <cp:lastModifiedBy>Usuario</cp:lastModifiedBy>
  <dcterms:created xsi:type="dcterms:W3CDTF">2016-04-11T17:20:25Z</dcterms:created>
  <dcterms:modified xsi:type="dcterms:W3CDTF">2017-02-22T17:01:01Z</dcterms:modified>
</cp:coreProperties>
</file>